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4080" windowHeight="7440" tabRatio="473" activeTab="1"/>
  </bookViews>
  <sheets>
    <sheet name="Лист1" sheetId="1" r:id="rId1"/>
    <sheet name="Лист2" sheetId="2" r:id="rId2"/>
  </sheets>
  <definedNames>
    <definedName name="_xlnm._FilterDatabase" localSheetId="1" hidden="1">Лист2!$A$12:$I$283</definedName>
    <definedName name="_xlnm.Print_Area" localSheetId="1">Лист2!$A$1:$L$286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33" i="2"/>
  <c r="J79"/>
  <c r="J139"/>
  <c r="J217"/>
  <c r="J175"/>
  <c r="J109"/>
  <c r="J103"/>
  <c r="J97"/>
  <c r="J49"/>
  <c r="J43"/>
  <c r="J37"/>
  <c r="J254" l="1"/>
  <c r="J199" s="1"/>
  <c r="L175" l="1"/>
  <c r="K175"/>
  <c r="J181"/>
  <c r="J180"/>
  <c r="J178"/>
  <c r="K199"/>
  <c r="K198"/>
  <c r="K196"/>
  <c r="J198"/>
  <c r="J196"/>
  <c r="F276"/>
  <c r="F275"/>
  <c r="F274"/>
  <c r="F273"/>
  <c r="F272"/>
  <c r="L271"/>
  <c r="K271"/>
  <c r="J271"/>
  <c r="I271"/>
  <c r="H271"/>
  <c r="G271"/>
  <c r="F269"/>
  <c r="F268"/>
  <c r="F267"/>
  <c r="F266"/>
  <c r="F265"/>
  <c r="L264"/>
  <c r="K264"/>
  <c r="K195" s="1"/>
  <c r="J264"/>
  <c r="I264"/>
  <c r="H264"/>
  <c r="G264"/>
  <c r="I175"/>
  <c r="F271" l="1"/>
  <c r="F264"/>
  <c r="L127"/>
  <c r="L126"/>
  <c r="L124"/>
  <c r="K127"/>
  <c r="K126"/>
  <c r="K124"/>
  <c r="J127"/>
  <c r="J126"/>
  <c r="J124"/>
  <c r="I163"/>
  <c r="I151"/>
  <c r="I139"/>
  <c r="I133"/>
  <c r="I97"/>
  <c r="I91"/>
  <c r="I79"/>
  <c r="I55"/>
  <c r="F55" s="1"/>
  <c r="G126"/>
  <c r="G124"/>
  <c r="G18"/>
  <c r="I124"/>
  <c r="H126"/>
  <c r="H124"/>
  <c r="G128"/>
  <c r="L51"/>
  <c r="J21"/>
  <c r="I84"/>
  <c r="I82"/>
  <c r="I198"/>
  <c r="I196"/>
  <c r="I197"/>
  <c r="I243"/>
  <c r="J243"/>
  <c r="H217"/>
  <c r="H199" s="1"/>
  <c r="G187"/>
  <c r="H175"/>
  <c r="G175"/>
  <c r="G163"/>
  <c r="H139"/>
  <c r="H133"/>
  <c r="H115"/>
  <c r="G115"/>
  <c r="I109"/>
  <c r="H109"/>
  <c r="G109"/>
  <c r="I103"/>
  <c r="H103"/>
  <c r="H97"/>
  <c r="G97"/>
  <c r="H91"/>
  <c r="F80"/>
  <c r="F78"/>
  <c r="F77"/>
  <c r="F76"/>
  <c r="F71"/>
  <c r="F68"/>
  <c r="F67"/>
  <c r="F66"/>
  <c r="F65"/>
  <c r="F64"/>
  <c r="F62"/>
  <c r="F61"/>
  <c r="F59"/>
  <c r="F58"/>
  <c r="F56"/>
  <c r="F54"/>
  <c r="F53"/>
  <c r="F52"/>
  <c r="F50"/>
  <c r="F48"/>
  <c r="F47"/>
  <c r="F46"/>
  <c r="F44"/>
  <c r="F42"/>
  <c r="F41"/>
  <c r="F40"/>
  <c r="F38"/>
  <c r="F36"/>
  <c r="F35"/>
  <c r="F34"/>
  <c r="F32"/>
  <c r="F31"/>
  <c r="F30"/>
  <c r="F29"/>
  <c r="F28"/>
  <c r="F26"/>
  <c r="F24"/>
  <c r="F23"/>
  <c r="F22"/>
  <c r="H79"/>
  <c r="H16"/>
  <c r="G17"/>
  <c r="F17" s="1"/>
  <c r="G16"/>
  <c r="I25"/>
  <c r="G21"/>
  <c r="G27"/>
  <c r="G37"/>
  <c r="H43"/>
  <c r="H19" s="1"/>
  <c r="G43"/>
  <c r="G45"/>
  <c r="G51"/>
  <c r="H60"/>
  <c r="F60" s="1"/>
  <c r="G57"/>
  <c r="G85" l="1"/>
  <c r="F43"/>
  <c r="G19"/>
  <c r="H127"/>
  <c r="G39"/>
  <c r="G127"/>
  <c r="G33"/>
  <c r="I85"/>
  <c r="H57"/>
  <c r="I127"/>
  <c r="F79"/>
  <c r="I19"/>
  <c r="F25"/>
  <c r="H18"/>
  <c r="F37"/>
  <c r="J197"/>
  <c r="F262"/>
  <c r="F261"/>
  <c r="F260"/>
  <c r="F259"/>
  <c r="F258"/>
  <c r="L257"/>
  <c r="K257"/>
  <c r="J257"/>
  <c r="I257"/>
  <c r="H257"/>
  <c r="G257"/>
  <c r="F255"/>
  <c r="F254"/>
  <c r="F253"/>
  <c r="F252"/>
  <c r="F251"/>
  <c r="L250"/>
  <c r="K250"/>
  <c r="J250"/>
  <c r="I250"/>
  <c r="H250"/>
  <c r="G250"/>
  <c r="J84"/>
  <c r="J82"/>
  <c r="I16"/>
  <c r="F257" l="1"/>
  <c r="F250"/>
  <c r="F122"/>
  <c r="I117"/>
  <c r="F121"/>
  <c r="F120"/>
  <c r="F119"/>
  <c r="F118"/>
  <c r="L117"/>
  <c r="K117"/>
  <c r="J117"/>
  <c r="H117"/>
  <c r="G117"/>
  <c r="I18"/>
  <c r="F117" l="1"/>
  <c r="J85"/>
  <c r="J87" l="1"/>
  <c r="I223"/>
  <c r="I199" s="1"/>
  <c r="I219" l="1"/>
  <c r="L280" l="1"/>
  <c r="K280"/>
  <c r="I280"/>
  <c r="H280"/>
  <c r="G280"/>
  <c r="F197"/>
  <c r="F233"/>
  <c r="F245"/>
  <c r="F239"/>
  <c r="F227"/>
  <c r="F221"/>
  <c r="F215"/>
  <c r="F209"/>
  <c r="F203"/>
  <c r="F191"/>
  <c r="F185"/>
  <c r="F179"/>
  <c r="F173"/>
  <c r="F167"/>
  <c r="F161"/>
  <c r="J280" l="1"/>
  <c r="F149"/>
  <c r="F143"/>
  <c r="F137"/>
  <c r="F131"/>
  <c r="I126"/>
  <c r="F125"/>
  <c r="F113"/>
  <c r="F107" l="1"/>
  <c r="F101"/>
  <c r="F95"/>
  <c r="F83"/>
  <c r="F89"/>
  <c r="J18"/>
  <c r="K18"/>
  <c r="L18"/>
  <c r="F18" l="1"/>
  <c r="F280"/>
  <c r="F248"/>
  <c r="F247"/>
  <c r="F246"/>
  <c r="F244"/>
  <c r="L243"/>
  <c r="K243"/>
  <c r="H243"/>
  <c r="G243"/>
  <c r="F243" l="1"/>
  <c r="J19"/>
  <c r="J16"/>
  <c r="F49" l="1"/>
  <c r="F88"/>
  <c r="F90"/>
  <c r="F91"/>
  <c r="F92"/>
  <c r="F94"/>
  <c r="F96"/>
  <c r="F98"/>
  <c r="F100"/>
  <c r="F102"/>
  <c r="F103"/>
  <c r="F104"/>
  <c r="F106"/>
  <c r="F108"/>
  <c r="F110"/>
  <c r="F112"/>
  <c r="F114"/>
  <c r="F116"/>
  <c r="F130"/>
  <c r="F132"/>
  <c r="F134"/>
  <c r="F136"/>
  <c r="F138"/>
  <c r="F139"/>
  <c r="F140"/>
  <c r="F142"/>
  <c r="F144"/>
  <c r="F145"/>
  <c r="F146"/>
  <c r="F148"/>
  <c r="F150"/>
  <c r="F151"/>
  <c r="F152"/>
  <c r="F160"/>
  <c r="F162"/>
  <c r="F164"/>
  <c r="F166"/>
  <c r="F168"/>
  <c r="F169"/>
  <c r="F170"/>
  <c r="F176"/>
  <c r="F174"/>
  <c r="F172"/>
  <c r="F178"/>
  <c r="F180"/>
  <c r="F181"/>
  <c r="F182"/>
  <c r="F184"/>
  <c r="F186"/>
  <c r="F188"/>
  <c r="F190"/>
  <c r="F192"/>
  <c r="F193"/>
  <c r="F194"/>
  <c r="F202"/>
  <c r="F204"/>
  <c r="F205"/>
  <c r="F206"/>
  <c r="F208"/>
  <c r="F210"/>
  <c r="F211"/>
  <c r="F212"/>
  <c r="F214"/>
  <c r="F216"/>
  <c r="F218"/>
  <c r="F220"/>
  <c r="F222"/>
  <c r="F224"/>
  <c r="F226"/>
  <c r="F228"/>
  <c r="F229"/>
  <c r="F230"/>
  <c r="F232"/>
  <c r="F234"/>
  <c r="F235"/>
  <c r="F236"/>
  <c r="F238"/>
  <c r="F240"/>
  <c r="F241"/>
  <c r="F242"/>
  <c r="K237"/>
  <c r="L237"/>
  <c r="K231"/>
  <c r="L231"/>
  <c r="J219"/>
  <c r="K219"/>
  <c r="L219"/>
  <c r="L213"/>
  <c r="K207"/>
  <c r="L207"/>
  <c r="J201"/>
  <c r="K201"/>
  <c r="L201"/>
  <c r="K189"/>
  <c r="L189"/>
  <c r="K183"/>
  <c r="L183"/>
  <c r="K177"/>
  <c r="L177"/>
  <c r="L171"/>
  <c r="L165"/>
  <c r="L159"/>
  <c r="L147"/>
  <c r="K141"/>
  <c r="L141"/>
  <c r="L135"/>
  <c r="L128"/>
  <c r="L129"/>
  <c r="K111"/>
  <c r="L111"/>
  <c r="K105"/>
  <c r="L105"/>
  <c r="K99"/>
  <c r="L99"/>
  <c r="L93"/>
  <c r="L82"/>
  <c r="L84"/>
  <c r="L85"/>
  <c r="L86"/>
  <c r="L87"/>
  <c r="L70"/>
  <c r="L72"/>
  <c r="L73"/>
  <c r="L74"/>
  <c r="L75"/>
  <c r="L69" s="1"/>
  <c r="L63"/>
  <c r="K63"/>
  <c r="L123" l="1"/>
  <c r="L281"/>
  <c r="L81"/>
  <c r="L16"/>
  <c r="L279" s="1"/>
  <c r="L19"/>
  <c r="L282" s="1"/>
  <c r="L20"/>
  <c r="L283" s="1"/>
  <c r="L21"/>
  <c r="K16"/>
  <c r="K19"/>
  <c r="K20"/>
  <c r="K21"/>
  <c r="L57"/>
  <c r="L45"/>
  <c r="L39"/>
  <c r="L33"/>
  <c r="L27"/>
  <c r="F16" l="1"/>
  <c r="F19"/>
  <c r="L15"/>
  <c r="L278" s="1"/>
  <c r="F217"/>
  <c r="I237"/>
  <c r="J237"/>
  <c r="H237"/>
  <c r="G237"/>
  <c r="I87"/>
  <c r="F237" l="1"/>
  <c r="I213"/>
  <c r="F97"/>
  <c r="F115"/>
  <c r="F175"/>
  <c r="F163"/>
  <c r="F109"/>
  <c r="J63" l="1"/>
  <c r="I63"/>
  <c r="H63"/>
  <c r="G63"/>
  <c r="G15" s="1"/>
  <c r="J189"/>
  <c r="I189"/>
  <c r="H189"/>
  <c r="G189"/>
  <c r="F63" l="1"/>
  <c r="F189"/>
  <c r="K213"/>
  <c r="K200"/>
  <c r="K171"/>
  <c r="K165"/>
  <c r="K159"/>
  <c r="K147"/>
  <c r="K135"/>
  <c r="K129"/>
  <c r="K128"/>
  <c r="K93"/>
  <c r="K87"/>
  <c r="K86"/>
  <c r="K85"/>
  <c r="K84"/>
  <c r="K82"/>
  <c r="K27"/>
  <c r="K70"/>
  <c r="K72"/>
  <c r="K73"/>
  <c r="K74"/>
  <c r="K75"/>
  <c r="K69" s="1"/>
  <c r="J75"/>
  <c r="J69" s="1"/>
  <c r="K57"/>
  <c r="K51"/>
  <c r="K45"/>
  <c r="K39"/>
  <c r="K33"/>
  <c r="K15" l="1"/>
  <c r="K123"/>
  <c r="K281"/>
  <c r="K81"/>
  <c r="K283"/>
  <c r="K282"/>
  <c r="K279"/>
  <c r="F187"/>
  <c r="H198"/>
  <c r="K278" l="1"/>
  <c r="N279" s="1"/>
  <c r="G183"/>
  <c r="I183"/>
  <c r="J183"/>
  <c r="H183"/>
  <c r="G111"/>
  <c r="I111"/>
  <c r="J111"/>
  <c r="H111"/>
  <c r="F111" l="1"/>
  <c r="F183"/>
  <c r="F223"/>
  <c r="H20" l="1"/>
  <c r="I20"/>
  <c r="J20"/>
  <c r="G196"/>
  <c r="H196"/>
  <c r="G198"/>
  <c r="G199"/>
  <c r="G200"/>
  <c r="H200"/>
  <c r="I200"/>
  <c r="J200"/>
  <c r="H105"/>
  <c r="I105"/>
  <c r="J105"/>
  <c r="H99"/>
  <c r="I99"/>
  <c r="J99"/>
  <c r="J93"/>
  <c r="I93"/>
  <c r="H93"/>
  <c r="H87"/>
  <c r="H86"/>
  <c r="I86"/>
  <c r="J86"/>
  <c r="H84"/>
  <c r="I281"/>
  <c r="H82"/>
  <c r="H75"/>
  <c r="H69" s="1"/>
  <c r="I75"/>
  <c r="I69" s="1"/>
  <c r="H74"/>
  <c r="I74"/>
  <c r="J74"/>
  <c r="H73"/>
  <c r="I73"/>
  <c r="I282" s="1"/>
  <c r="J73"/>
  <c r="H72"/>
  <c r="I72"/>
  <c r="J72"/>
  <c r="H70"/>
  <c r="I70"/>
  <c r="I279" s="1"/>
  <c r="J70"/>
  <c r="F20" l="1"/>
  <c r="H281"/>
  <c r="I81"/>
  <c r="J282"/>
  <c r="J81"/>
  <c r="J281"/>
  <c r="F199"/>
  <c r="F200"/>
  <c r="F196"/>
  <c r="F198"/>
  <c r="H85"/>
  <c r="H282" s="1"/>
  <c r="H279"/>
  <c r="H81"/>
  <c r="J231" l="1"/>
  <c r="I231"/>
  <c r="H231"/>
  <c r="G231"/>
  <c r="F231" l="1"/>
  <c r="J177"/>
  <c r="I177"/>
  <c r="H177"/>
  <c r="G177"/>
  <c r="F177" l="1"/>
  <c r="J213" l="1"/>
  <c r="J195" s="1"/>
  <c r="J207"/>
  <c r="J171"/>
  <c r="J165"/>
  <c r="J159"/>
  <c r="J147"/>
  <c r="J141"/>
  <c r="J135"/>
  <c r="J129"/>
  <c r="J128"/>
  <c r="F126"/>
  <c r="F124"/>
  <c r="J57"/>
  <c r="J51"/>
  <c r="J45"/>
  <c r="J39"/>
  <c r="J33"/>
  <c r="J27"/>
  <c r="J123" l="1"/>
  <c r="J15"/>
  <c r="J279"/>
  <c r="J283"/>
  <c r="J278" l="1"/>
  <c r="O278" s="1"/>
  <c r="I27" l="1"/>
  <c r="H27"/>
  <c r="F27" l="1"/>
  <c r="F133"/>
  <c r="F127" l="1"/>
  <c r="F85"/>
  <c r="H213" l="1"/>
  <c r="G213"/>
  <c r="I147"/>
  <c r="H147"/>
  <c r="G147"/>
  <c r="I141"/>
  <c r="H141"/>
  <c r="G141"/>
  <c r="I135"/>
  <c r="H135"/>
  <c r="G135"/>
  <c r="I129"/>
  <c r="H129"/>
  <c r="G129"/>
  <c r="G87"/>
  <c r="F87" l="1"/>
  <c r="F147"/>
  <c r="F141"/>
  <c r="F135"/>
  <c r="F129"/>
  <c r="F213"/>
  <c r="I21"/>
  <c r="H21"/>
  <c r="F21" l="1"/>
  <c r="I207"/>
  <c r="H207"/>
  <c r="G207"/>
  <c r="G219"/>
  <c r="F207" l="1"/>
  <c r="I159"/>
  <c r="I128"/>
  <c r="H128"/>
  <c r="F128" l="1"/>
  <c r="G70"/>
  <c r="F70" s="1"/>
  <c r="G72"/>
  <c r="F72" s="1"/>
  <c r="G73"/>
  <c r="G282" s="1"/>
  <c r="G74"/>
  <c r="F74" s="1"/>
  <c r="G75"/>
  <c r="F75" s="1"/>
  <c r="F73" l="1"/>
  <c r="F282" s="1"/>
  <c r="G69"/>
  <c r="F69" l="1"/>
  <c r="G82"/>
  <c r="F82" s="1"/>
  <c r="F279" s="1"/>
  <c r="G84"/>
  <c r="G86"/>
  <c r="G93"/>
  <c r="G99"/>
  <c r="F99" s="1"/>
  <c r="G105"/>
  <c r="F105" s="1"/>
  <c r="G201"/>
  <c r="H201"/>
  <c r="I201"/>
  <c r="I225"/>
  <c r="H225"/>
  <c r="G225"/>
  <c r="H219"/>
  <c r="I171"/>
  <c r="H171"/>
  <c r="G171"/>
  <c r="I165"/>
  <c r="H165"/>
  <c r="G165"/>
  <c r="H159"/>
  <c r="G159"/>
  <c r="I57"/>
  <c r="F57" s="1"/>
  <c r="I51"/>
  <c r="H51"/>
  <c r="I45"/>
  <c r="H45"/>
  <c r="H39"/>
  <c r="I39"/>
  <c r="I33"/>
  <c r="I195" l="1"/>
  <c r="F39"/>
  <c r="G123"/>
  <c r="F93"/>
  <c r="G81"/>
  <c r="H123"/>
  <c r="I123"/>
  <c r="F45"/>
  <c r="I15"/>
  <c r="H195"/>
  <c r="F51"/>
  <c r="F84"/>
  <c r="F281" s="1"/>
  <c r="G281"/>
  <c r="F201"/>
  <c r="F159"/>
  <c r="F219"/>
  <c r="F86"/>
  <c r="F283" s="1"/>
  <c r="G283"/>
  <c r="F171"/>
  <c r="F165"/>
  <c r="F225"/>
  <c r="G279"/>
  <c r="G195"/>
  <c r="I283"/>
  <c r="H283"/>
  <c r="H33"/>
  <c r="G278" l="1"/>
  <c r="F81"/>
  <c r="I278"/>
  <c r="F33"/>
  <c r="H15"/>
  <c r="F15" s="1"/>
  <c r="F195"/>
  <c r="F123"/>
  <c r="H278" l="1"/>
  <c r="F278"/>
</calcChain>
</file>

<file path=xl/sharedStrings.xml><?xml version="1.0" encoding="utf-8"?>
<sst xmlns="http://schemas.openxmlformats.org/spreadsheetml/2006/main" count="494" uniqueCount="202">
  <si>
    <t>Задача 2</t>
  </si>
  <si>
    <t>Задача 3</t>
  </si>
  <si>
    <t>3.2.</t>
  </si>
  <si>
    <t>3.4. ЕДШИ</t>
  </si>
  <si>
    <t>3.5. НДШИ</t>
  </si>
  <si>
    <t>3.6. ДХШ</t>
  </si>
  <si>
    <t>3.7. педагоги</t>
  </si>
  <si>
    <t>3.3. антитеррор</t>
  </si>
  <si>
    <t>3.1. оснащение</t>
  </si>
  <si>
    <t>Задача 4</t>
  </si>
  <si>
    <t>Задача 5</t>
  </si>
  <si>
    <t>Задача 6</t>
  </si>
  <si>
    <t>Задача 7</t>
  </si>
  <si>
    <t>Задача 8</t>
  </si>
  <si>
    <t>Задача 9</t>
  </si>
  <si>
    <t>9.1.</t>
  </si>
  <si>
    <t>9.2.</t>
  </si>
  <si>
    <t>9.3.</t>
  </si>
  <si>
    <t>9.4.</t>
  </si>
  <si>
    <t>Задача 10</t>
  </si>
  <si>
    <t>10.1.</t>
  </si>
  <si>
    <t>10.2.</t>
  </si>
  <si>
    <t>2.1.</t>
  </si>
  <si>
    <t>2.2.</t>
  </si>
  <si>
    <t>2.3.</t>
  </si>
  <si>
    <t>5.1.</t>
  </si>
  <si>
    <t>5.2.</t>
  </si>
  <si>
    <t>5.3.</t>
  </si>
  <si>
    <t>5.4.</t>
  </si>
  <si>
    <t>5.5. ецкид</t>
  </si>
  <si>
    <t>5.6. зцкид</t>
  </si>
  <si>
    <t>5.7. мдк</t>
  </si>
  <si>
    <t xml:space="preserve">Задача 1 </t>
  </si>
  <si>
    <t>2019 мун</t>
  </si>
  <si>
    <t>2019 общ</t>
  </si>
  <si>
    <t>2021 мун</t>
  </si>
  <si>
    <t>2021 общ</t>
  </si>
  <si>
    <t>фед</t>
  </si>
  <si>
    <t>ИТОГО мун:</t>
  </si>
  <si>
    <t>респ:</t>
  </si>
  <si>
    <t>итого общее:</t>
  </si>
  <si>
    <t>2020 мун</t>
  </si>
  <si>
    <t>2020 общ</t>
  </si>
  <si>
    <t>2022 мун</t>
  </si>
  <si>
    <t>2022 общ</t>
  </si>
  <si>
    <t>9.5.</t>
  </si>
  <si>
    <t xml:space="preserve"> задача 1</t>
  </si>
  <si>
    <t>Всего в т.ч.</t>
  </si>
  <si>
    <t>№ п/п</t>
  </si>
  <si>
    <t xml:space="preserve">Мероприятия по реализации муниципальной
программы
</t>
  </si>
  <si>
    <t xml:space="preserve">Срок исполне
ния мероприятия
</t>
  </si>
  <si>
    <t>Ответственный за выполнение мероприятия программы</t>
  </si>
  <si>
    <t>Источники финансирования</t>
  </si>
  <si>
    <t>Всего (тыс. руб.)</t>
  </si>
  <si>
    <t>1.</t>
  </si>
  <si>
    <t>федеральный бюджет</t>
  </si>
  <si>
    <t>бюджет Республики Крым</t>
  </si>
  <si>
    <t>муниципальный бюджет</t>
  </si>
  <si>
    <t>внебюджетные источники</t>
  </si>
  <si>
    <t>1.1.</t>
  </si>
  <si>
    <t>1.2.</t>
  </si>
  <si>
    <t>1.3.</t>
  </si>
  <si>
    <t>1.4.</t>
  </si>
  <si>
    <t>2.</t>
  </si>
  <si>
    <t>3.</t>
  </si>
  <si>
    <t>3.1.</t>
  </si>
  <si>
    <t>3.3.</t>
  </si>
  <si>
    <t>4.</t>
  </si>
  <si>
    <t>4.1.</t>
  </si>
  <si>
    <t>4.2.</t>
  </si>
  <si>
    <t>2022 год</t>
  </si>
  <si>
    <t>Итого</t>
  </si>
  <si>
    <r>
      <rPr>
        <b/>
        <sz val="10"/>
        <color theme="1"/>
        <rFont val="Times New Roman"/>
        <family val="1"/>
        <charset val="204"/>
      </rPr>
      <t>Всего</t>
    </r>
    <r>
      <rPr>
        <sz val="10"/>
        <color theme="1"/>
        <rFont val="Times New Roman"/>
        <family val="1"/>
        <charset val="204"/>
      </rPr>
      <t xml:space="preserve">
</t>
    </r>
    <r>
      <rPr>
        <b/>
        <u/>
        <sz val="10"/>
        <color theme="1"/>
        <rFont val="Times New Roman"/>
        <family val="1"/>
        <charset val="204"/>
      </rPr>
      <t xml:space="preserve">
</t>
    </r>
  </si>
  <si>
    <t>2023 год</t>
  </si>
  <si>
    <t>1.5.</t>
  </si>
  <si>
    <t>4.3.</t>
  </si>
  <si>
    <t>Объем финансирования по годам (тыс.руб.)</t>
  </si>
  <si>
    <t>Ресурсное обеспечение и прогнозная оценка расходов на реализацию муниципальной программы "Развитие культуры и укрепление межнационального согласия на территории городского округа Евпатория Республики Крым" по источникам финансирования</t>
  </si>
  <si>
    <t>5.</t>
  </si>
  <si>
    <t xml:space="preserve">Сохранение и популяризация культурного наследия, поддержка и развитие всех видов и жанров искусства
</t>
  </si>
  <si>
    <t xml:space="preserve">Создание благоприятных условий для гармоничного развития межнациональных и межконфессиональных отношений
</t>
  </si>
  <si>
    <t xml:space="preserve">Обеспечение прав граждан на участие в культурной жизни городского округа, творческую самореализацию, стимулирование творческой активности населения
</t>
  </si>
  <si>
    <t>УКиМО</t>
  </si>
  <si>
    <t xml:space="preserve">Повышение культурного уровня евпаторийцев посредством привлечения населения к участию в культурно-массовых мероприятиях, популяризации деятельности музеев, библиотек. Разработка новых методик проведения культурно-массовой работы в городе
</t>
  </si>
  <si>
    <t>Финансовое и материально-техническое обеспечение деятельности МАУ городского округа Евпатория Республики Крым "Евпаторийский культурно-этнографический центр "Малый Иерусалим"</t>
  </si>
  <si>
    <t xml:space="preserve">Развитие инфраструктуры отрасли культуры, достижение качественного уровня предоставляемых услуг
</t>
  </si>
  <si>
    <t>УКиМО, МБУК "Театр-студия кукол "Марионетки"</t>
  </si>
  <si>
    <t>УКиМО, МБУК "Евпаторийская централизованная библиотечная система"</t>
  </si>
  <si>
    <t>УКиМО, МКУ "ЦООК"</t>
  </si>
  <si>
    <t>Компенсация расходов на оплату жилых помещений, отопления и электроэнергии педагогическим работникам, проживающим в сельской местности и работающим в муниципальных образовательных организациях, расположенных в сельской местности</t>
  </si>
  <si>
    <t>Отдел городского строительства администрации города Евпатории Республики Крым</t>
  </si>
  <si>
    <t>3.4.</t>
  </si>
  <si>
    <t>4.5.</t>
  </si>
  <si>
    <t>4.6.</t>
  </si>
  <si>
    <t>4.7.</t>
  </si>
  <si>
    <t>4.4.</t>
  </si>
  <si>
    <t>5.5.</t>
  </si>
  <si>
    <t>1.6.</t>
  </si>
  <si>
    <t xml:space="preserve">Материально-техническое обеспечение проведения культурно-массовых мероприятий </t>
  </si>
  <si>
    <t>Развитие и укрепление материально-технической базы, оснащение оборудованием муниципальных музеев и библиотек</t>
  </si>
  <si>
    <t xml:space="preserve"> Комплектование книжных фондов муниципальных библиотек</t>
  </si>
  <si>
    <t>1.7.</t>
  </si>
  <si>
    <t>4.8.</t>
  </si>
  <si>
    <t>2024 год</t>
  </si>
  <si>
    <t>4.9.</t>
  </si>
  <si>
    <t xml:space="preserve">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</t>
  </si>
  <si>
    <t>Проведение культурно-массовых мероприятий, направленных на развитие национальных культур и традиций, социально-культурную адаптацию репрессированных народов, противодействие проявлениям ксенофобии и укрепление единства народов, проживающих на территории городского округа</t>
  </si>
  <si>
    <t>5.6.</t>
  </si>
  <si>
    <t xml:space="preserve">Установка мемориальных знаков, проведение восстановительных работ по сохранению объектов культурного наследия в рамках реализации федеральной целевой программы «Увековечение памяти погибших при защите Отечества на 2019 –2024 годы»
</t>
  </si>
  <si>
    <t>Мероприятия по увековечению памяти погибших при защите Отечества</t>
  </si>
  <si>
    <r>
      <t xml:space="preserve">Развитие и укрепление материально-технической базы детских школ искусств и театров, приобретение музыкальных иструментов </t>
    </r>
    <r>
      <rPr>
        <sz val="10"/>
        <color rgb="FF0070C0"/>
        <rFont val="Times New Roman"/>
        <family val="1"/>
        <charset val="204"/>
      </rPr>
      <t/>
    </r>
  </si>
  <si>
    <t xml:space="preserve">Финансовое и материально-техническое обеспечение деятельности МБУ ДО "Евпаторийская детская школа искусств" </t>
  </si>
  <si>
    <t xml:space="preserve">Финансовое и материально-техническое обеспечение деятельности МБУ ДО "Новоозерновская детская школа искусств" </t>
  </si>
  <si>
    <t xml:space="preserve">Финансовое и материально-техническое обеспечение деятельности МБУ ДО "Евпаторийская детская художественная школа им. Ю.В.Волкова" </t>
  </si>
  <si>
    <t>Развитие  и укрепление материально-технической базы культурно-досуговых учреждений</t>
  </si>
  <si>
    <t xml:space="preserve">Финансовое и материально-техническое обеспечение деятельности МБУК "Евпаторийский центр культуры и досуга" </t>
  </si>
  <si>
    <t xml:space="preserve">Финансовое и материально-техническое обеспечение деятельности МБУК "Заозерненский центр культуры и досуга"  </t>
  </si>
  <si>
    <t xml:space="preserve">Финансовое и материально-техническое обеспечение деятельности МБУК "Мирновский дом культуры" 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</si>
  <si>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МБУК "Евпаторийский краеведческий музей"</t>
    </r>
    <r>
      <rPr>
        <b/>
        <sz val="10"/>
        <rFont val="Times New Roman"/>
        <family val="1"/>
        <charset val="204"/>
      </rPr>
      <t xml:space="preserve">  </t>
    </r>
  </si>
  <si>
    <t xml:space="preserve">Финансовое и материально-техническое обеспечение деятельности МБУК "Евпаторийская централизованная библиотечная система" </t>
  </si>
  <si>
    <t>Финансовое и материально-техническое обеспечение деятельности МБУК «Театр-студия кукол «Марионетки»</t>
  </si>
  <si>
    <t xml:space="preserve"> Обеспечение условий антитеррористической защищенности и пожарной безопасности в образовательных учреждениях сферы культуры, театре</t>
  </si>
  <si>
    <t>3.5.</t>
  </si>
  <si>
    <t>Обеспечение условий антитеррористической защищенности и пожарной безопасности в культурно-досуговых учреждениях</t>
  </si>
  <si>
    <t>4.10.</t>
  </si>
  <si>
    <t>Обеспечение условий антитеррористической защищенности и пожарной безопасности в музеях, библиотеках</t>
  </si>
  <si>
    <t xml:space="preserve">Капитальный ремонт муниципального бюджетного учреждения дополнительного образования «Евпаторийская детская школа искусств», расположенного по адресу: Республика Крым, г. Евпатория, ул. Демышева, 129 </t>
  </si>
  <si>
    <t>2025 год</t>
  </si>
  <si>
    <t>1.8.</t>
  </si>
  <si>
    <t xml:space="preserve">Создание модельных муниципальных библиотек </t>
  </si>
  <si>
    <t>Поддержка творческой деятельности и техническое оснащение детских и кукольных театров в рамках реализации основного мероприятия «Совершенствование и обеспечение деятельности учреждений отрасли «Культура, искусство и кинематография» подпрограммы «Развитие культуры Республики Крым» Государственной программы Республики Крым «Развитие культуры, архивного дела и сохранение объектов культурного наследия Республики Крым»</t>
  </si>
  <si>
    <t xml:space="preserve"> </t>
  </si>
  <si>
    <t xml:space="preserve"> Отдел городского 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</si>
  <si>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2022-2023</t>
  </si>
  <si>
    <t>Осуществление работ по строительству, реконструкции, капитальному и текущему ремонту учреждений культуры, в том числе являющихся памятниками архитектуры (проектно-изыскательные, проектно-сметные, строительно-монтажные работы, историко-архитектурные заключения, экспертиза сметной стоимости, приобретение стройматериалов); разработка проекта модернизации помещений</t>
  </si>
  <si>
    <t>5.7.</t>
  </si>
  <si>
    <t xml:space="preserve">Разработка документации по определению границ территории и зон охраны памятников и проведение государственной историко-культурной экспертизы проектной документации </t>
  </si>
  <si>
    <t xml:space="preserve"> Отдел архитектуры и градостроительства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</si>
  <si>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2026 год</t>
  </si>
  <si>
    <t>Финансовое и материально-техническое обеспечение деятельности МКУ «Центр обслуживания организаций культуры» по реализации возложенных полномочий до 31.08.2023</t>
  </si>
  <si>
    <t xml:space="preserve">
</t>
  </si>
  <si>
    <t>ДКСМПиМО АГЕ РК, МБУК "Театр-студия кукол "Марионетки", МБУ ДО "ЕДШИ", МБУ ДО "НДШИ", МБУ ДО "ЕДХШ им.Ю.В.Волкова"</t>
  </si>
  <si>
    <t>ДКСМПиМО АГЕ РК, МБУ ДО "ЕДШИ", МБУ ДО "НДШИ", МБУДО "ЕДХШ им.Ю.В.Волкова", МБУК "Театр-студия кукол "Марионетки"</t>
  </si>
  <si>
    <t xml:space="preserve">ДКСМПиМО АГЕ РК, МБУ ДО "ЕДШИ", МБУ ДО "НДШИ", МБУДО "ЕДХШ им.Ю.В.Волкова", МБУК "Театр-студия кукол "Марионетки" </t>
  </si>
  <si>
    <t>ДКСМПиМО АГЕ РК, МБУК "Театр-студия кукол "Марионетки"</t>
  </si>
  <si>
    <t>ДКСМПиМО АГЕ РК, МБУ ДО "ЕДШИ"</t>
  </si>
  <si>
    <t>ДКСМПиМО АГЕ РК, МБУ ДО "НДШИ"</t>
  </si>
  <si>
    <t>ДКСМПиМО АГЕ РК, МБУДО "ЕДХШ им.Ю.В.Волкова"</t>
  </si>
  <si>
    <t>ДКСМПиМО АГЕ РК, учреждения культуры и дополнительного образования в сфере культуры, подведомственные ДКСМПиМО АГЕ РК</t>
  </si>
  <si>
    <t>ДКСМПиМО АГЕ РК, МБУК "Евпаторийский центр культуры и досуга", МБУК "Заозерненский центр культуры и досуга", МБУК "Мирновский дом культуры"</t>
  </si>
  <si>
    <t>ДКСМПиМО АГЕ РК, МБУК "Заозерненский центр культуры и досуга", МБУК "Мирновский дом культуры", МБУК "Евпаторийский центр культуры и досуга"</t>
  </si>
  <si>
    <t>ДКСМПиМО АГЕ РК, МБУК "Евпаторийский центр культуры и досуга"</t>
  </si>
  <si>
    <t>ДКСМПиМО АГЕ РК, МБУК "Заозерненский центр культуры и досуга"</t>
  </si>
  <si>
    <t>ДКСМПиМО АГЕ РК, МБУК "Мирновский дом культуры"</t>
  </si>
  <si>
    <t>ДКСМПиМО АГЕ РК, МБУК "Евпаторийский центр культуры и досуга", МБУК "Заозерненский центр культуры и досуга", МБУК "Мирновский дом культуры", МБУК "Евпаторийский краеведческий музей", МАУ "ЕКЭЦ "Малый Иерусалим", МБУК "Евпаторийская централизованная библиотечная система"</t>
  </si>
  <si>
    <t>ДКСМПиМО АГЕ РК</t>
  </si>
  <si>
    <t>ДКСМПиМО АГЕ РК, МБУК "Евпаторийская централизованная библиотечная система", МБУК "Заозерненский центр культуры и досуга"</t>
  </si>
  <si>
    <t>ДКСМПиМО АГЕ РК, МБУК "Евпаторийский краеведческий музей",  МБУК "Евпаторийская централизованная библиотечная система", МАУ "ЕКЭЦ "Малый Иерусалим"</t>
  </si>
  <si>
    <t>ДКСМПиМО АГЕ РК, МБУК "Евпаторийская централизованная библиотечная система"</t>
  </si>
  <si>
    <t>ДКСМПиМО АГЕ РК, МБУК "Евпаторийский краеведческий музей"</t>
  </si>
  <si>
    <t>ДКСМПиМО АГЕ РК, МАУ "ЕКЭЦ "Малый Иерусалим"</t>
  </si>
  <si>
    <t>ДКСМПиМО АГЕ РК, МБУК "Евпаторийский краеведческий музей", МБУК "Евпаторийская централизованная библиотечная система"</t>
  </si>
  <si>
    <r>
      <rPr>
        <sz val="10"/>
        <rFont val="Times New Roman"/>
        <family val="1"/>
        <charset val="204"/>
      </rPr>
      <t>Финансовое, материально-техническое, информационное, методическое, организационное, аналитическое обеспечение деятельности управления  культуры  и межнациональных отношений администрации города Евпатории Республики Крым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до 31.08.2023</t>
    </r>
  </si>
  <si>
    <t>Организация мероприятий в области культуры департаментом культуры, спорта, молодежной политики и межнациональных отношений администрации города Евпатории Республики Крым (до 31.08.2023 г. - управлением культуры и межнациональных отношений администрации города Евпатории Республики Крым)</t>
  </si>
  <si>
    <t>5.8.</t>
  </si>
  <si>
    <t>Капитальный ремонт библиотеки № 9 МБУК «ЕЦБС», расположенной по адресу: 297491, РФ, Республика Крым, г. Евпатория, пгт. Новоозёрное, ул. Молодежная, 1</t>
  </si>
  <si>
    <t>бюджеты субъектов Россйиской Федерации</t>
  </si>
  <si>
    <t>УКиМО, МБУК "Евпаторийский центр культуры и досуга", МБУК "Мирновский дом культуры"</t>
  </si>
  <si>
    <t>2022, 2024</t>
  </si>
  <si>
    <t>3.6.</t>
  </si>
  <si>
    <t xml:space="preserve">Обеспечение развития и укрепления материально-технической базы муниципальных домов культуры в населенных пунктах с числом жителей до 50 тысяч человек
</t>
  </si>
  <si>
    <t xml:space="preserve">ДКСМПиМО АГЕ РК, учреждения культуры и дополнительного образования в сфере культуры, подведомственные ДКСМПиМО АГЕ РК, Отдел городского строительства администрации города Евпатории Республики Крым, МБУК "Евпаторийская централизованная библиотечная система",  МБУК "Заозерненский центр культуры и досуга", МБУДО "ЕДХШ им.Ю.В.Волкова", МБУ ДО "Евпаторийская детская школа искусств" , МБУК "Мирновский дом культуры"                                                                                                                                                    </t>
  </si>
  <si>
    <t>5.9.</t>
  </si>
  <si>
    <t>Проведение работ по сохранению объектов культурного наследия</t>
  </si>
  <si>
    <t>ДКСМПиМО АГЕ РК;  учреждения,  подведомственные ДКСМПиМО АГЕ РК; отдел городского строительства администрации города Евпатории Республики Крым; департамент городского хозяйства администрации города Евпатории Республики Крым; учреждения, подведомственные департаменту городского хозяйства  администрации города Евпатории Республики Крым</t>
  </si>
  <si>
    <t>5.10.</t>
  </si>
  <si>
    <t>Капитальный ремонт детской библиотеки № 6 имени Ю. Гагарина, расположенная по адресу: 297408, РФ, Республика Крым, г. Евпатория, ул. Некрасова, 61</t>
  </si>
  <si>
    <t>2027 год</t>
  </si>
  <si>
    <t>ДКСМПиМО АГЕ РК, учреждения культуры и дополнительного образования в сфере культуры, подведомственные ДКСМПиМО АГЕ РК; департамент городского хозяйства администрации города Евпатории Республики Крым; учреждения, подведомственные департаменту городского хозяйства  администрации города Евпатории Республики Крым; 
отдел городского строительства администрации города Евпатории Республики Крым,  отдел архитектуры и градостроительства администрации города Евпатории Республики Крым</t>
  </si>
  <si>
    <t xml:space="preserve">2022-2027 </t>
  </si>
  <si>
    <t>2022 - 2027</t>
  </si>
  <si>
    <t xml:space="preserve">2022 - 2027 </t>
  </si>
  <si>
    <t xml:space="preserve"> 2022-2027</t>
  </si>
  <si>
    <t>2022-2027</t>
  </si>
  <si>
    <t>2022-2026</t>
  </si>
  <si>
    <t>2022-2025</t>
  </si>
  <si>
    <t>2022- 2026</t>
  </si>
  <si>
    <t xml:space="preserve">2022-2026 </t>
  </si>
  <si>
    <t>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за счет средств резервного фонда Правительства Российской Федерации</t>
  </si>
  <si>
    <t>2024- 2025</t>
  </si>
  <si>
    <t>2022- 2027</t>
  </si>
  <si>
    <t xml:space="preserve">160,856 культура </t>
  </si>
  <si>
    <t>5.11.</t>
  </si>
  <si>
    <t>5.12.</t>
  </si>
  <si>
    <t>Капитальный ремонт юношеской библиотеки № 14 им. И. Сельвинского, расположенной по адресу: 297407, РФ, РК, г. Евпатория, пр. Победы, 19</t>
  </si>
  <si>
    <t>2025-2026</t>
  </si>
  <si>
    <t>Капитальный ремонт детской библиотеки № 2 имени Л. Украинки, расположенной по адресу: 297408, РФ, Республика Крым, г. Евпатория, ул.Интернациональная,149</t>
  </si>
  <si>
    <t>было 300</t>
  </si>
  <si>
    <t>Приложение № 3 к муниципальной программе "Развитие культуры и укрепление межнационального согласия на территории городского округа Евпатория Республики Крым"</t>
  </si>
  <si>
    <t xml:space="preserve">Приложение к поставнолению администрации города Евпатории Республики Крым
от _______________ № ___________
</t>
  </si>
  <si>
    <t>2022- 2025</t>
  </si>
  <si>
    <t xml:space="preserve"> 2023-2025</t>
  </si>
</sst>
</file>

<file path=xl/styles.xml><?xml version="1.0" encoding="utf-8"?>
<styleSheet xmlns="http://schemas.openxmlformats.org/spreadsheetml/2006/main">
  <numFmts count="8">
    <numFmt numFmtId="164" formatCode="_-* #,##0.00_-;\-* #,##0.00_-;_-* &quot;-&quot;??_-;_-@_-"/>
    <numFmt numFmtId="165" formatCode="0.00000"/>
    <numFmt numFmtId="166" formatCode="0.0000"/>
    <numFmt numFmtId="167" formatCode="_-* #,##0.00000_-;\-* #,##0.00000_-;_-* &quot;-&quot;??_-;_-@_-"/>
    <numFmt numFmtId="168" formatCode="#,##0.00000"/>
    <numFmt numFmtId="169" formatCode="0.000"/>
    <numFmt numFmtId="170" formatCode="#,##0.000"/>
    <numFmt numFmtId="171" formatCode="_-* #,##0.00000\ _₽_-;\-* #,##0.00000\ _₽_-;_-* &quot;-&quot;?????\ _₽_-;_-@_-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6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/>
    <xf numFmtId="16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2" borderId="0" xfId="0" applyFont="1" applyFill="1"/>
    <xf numFmtId="0" fontId="3" fillId="0" borderId="0" xfId="0" applyFont="1"/>
    <xf numFmtId="166" fontId="2" fillId="0" borderId="0" xfId="0" applyNumberFormat="1" applyFont="1"/>
    <xf numFmtId="0" fontId="5" fillId="0" borderId="0" xfId="0" applyFont="1" applyAlignment="1">
      <alignment horizontal="center"/>
    </xf>
    <xf numFmtId="167" fontId="4" fillId="0" borderId="2" xfId="1" applyNumberFormat="1" applyFont="1" applyBorder="1" applyAlignment="1">
      <alignment horizontal="center" vertical="center" wrapText="1"/>
    </xf>
    <xf numFmtId="167" fontId="4" fillId="0" borderId="1" xfId="1" applyNumberFormat="1" applyFont="1" applyBorder="1" applyAlignment="1">
      <alignment horizontal="center" vertical="center" wrapText="1"/>
    </xf>
    <xf numFmtId="167" fontId="4" fillId="4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67" fontId="11" fillId="0" borderId="2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67" fontId="12" fillId="4" borderId="1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7" fontId="17" fillId="0" borderId="1" xfId="1" applyNumberFormat="1" applyFont="1" applyBorder="1" applyAlignment="1">
      <alignment horizontal="center" vertical="center" wrapText="1"/>
    </xf>
    <xf numFmtId="0" fontId="4" fillId="0" borderId="0" xfId="0" applyFont="1" applyBorder="1"/>
    <xf numFmtId="165" fontId="4" fillId="0" borderId="0" xfId="0" applyNumberFormat="1" applyFont="1" applyBorder="1"/>
    <xf numFmtId="0" fontId="4" fillId="5" borderId="0" xfId="0" applyFont="1" applyFill="1" applyBorder="1"/>
    <xf numFmtId="0" fontId="4" fillId="0" borderId="0" xfId="0" applyFont="1"/>
    <xf numFmtId="0" fontId="18" fillId="5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165" fontId="4" fillId="5" borderId="0" xfId="0" applyNumberFormat="1" applyFont="1" applyFill="1" applyBorder="1"/>
    <xf numFmtId="165" fontId="4" fillId="5" borderId="3" xfId="0" applyNumberFormat="1" applyFont="1" applyFill="1" applyBorder="1"/>
    <xf numFmtId="165" fontId="4" fillId="5" borderId="1" xfId="0" applyNumberFormat="1" applyFont="1" applyFill="1" applyBorder="1"/>
    <xf numFmtId="165" fontId="4" fillId="5" borderId="4" xfId="0" applyNumberFormat="1" applyFont="1" applyFill="1" applyBorder="1"/>
    <xf numFmtId="165" fontId="4" fillId="0" borderId="3" xfId="0" applyNumberFormat="1" applyFont="1" applyBorder="1"/>
    <xf numFmtId="165" fontId="4" fillId="0" borderId="1" xfId="0" applyNumberFormat="1" applyFont="1" applyBorder="1"/>
    <xf numFmtId="0" fontId="4" fillId="5" borderId="6" xfId="0" applyFont="1" applyFill="1" applyBorder="1"/>
    <xf numFmtId="0" fontId="4" fillId="5" borderId="2" xfId="0" applyFont="1" applyFill="1" applyBorder="1"/>
    <xf numFmtId="0" fontId="4" fillId="5" borderId="5" xfId="0" applyFont="1" applyFill="1" applyBorder="1"/>
    <xf numFmtId="0" fontId="4" fillId="0" borderId="6" xfId="0" applyFont="1" applyBorder="1"/>
    <xf numFmtId="0" fontId="4" fillId="0" borderId="2" xfId="0" applyFont="1" applyBorder="1"/>
    <xf numFmtId="0" fontId="11" fillId="5" borderId="0" xfId="0" applyFont="1" applyFill="1" applyBorder="1"/>
    <xf numFmtId="0" fontId="11" fillId="5" borderId="6" xfId="0" applyFont="1" applyFill="1" applyBorder="1"/>
    <xf numFmtId="0" fontId="11" fillId="5" borderId="2" xfId="0" applyFont="1" applyFill="1" applyBorder="1"/>
    <xf numFmtId="0" fontId="11" fillId="5" borderId="5" xfId="0" applyFont="1" applyFill="1" applyBorder="1"/>
    <xf numFmtId="0" fontId="11" fillId="0" borderId="6" xfId="0" applyFont="1" applyBorder="1"/>
    <xf numFmtId="0" fontId="11" fillId="0" borderId="2" xfId="0" applyFont="1" applyBorder="1"/>
    <xf numFmtId="0" fontId="4" fillId="5" borderId="3" xfId="0" applyFont="1" applyFill="1" applyBorder="1"/>
    <xf numFmtId="0" fontId="4" fillId="5" borderId="1" xfId="0" applyFont="1" applyFill="1" applyBorder="1"/>
    <xf numFmtId="0" fontId="4" fillId="5" borderId="4" xfId="0" applyFont="1" applyFill="1" applyBorder="1"/>
    <xf numFmtId="0" fontId="4" fillId="0" borderId="3" xfId="0" applyFont="1" applyBorder="1"/>
    <xf numFmtId="0" fontId="4" fillId="0" borderId="1" xfId="0" applyFont="1" applyBorder="1"/>
    <xf numFmtId="165" fontId="4" fillId="5" borderId="10" xfId="0" applyNumberFormat="1" applyFont="1" applyFill="1" applyBorder="1"/>
    <xf numFmtId="0" fontId="4" fillId="5" borderId="9" xfId="0" applyFont="1" applyFill="1" applyBorder="1"/>
    <xf numFmtId="165" fontId="4" fillId="5" borderId="7" xfId="0" applyNumberFormat="1" applyFont="1" applyFill="1" applyBorder="1"/>
    <xf numFmtId="0" fontId="4" fillId="5" borderId="8" xfId="0" applyFont="1" applyFill="1" applyBorder="1"/>
    <xf numFmtId="0" fontId="4" fillId="5" borderId="0" xfId="0" applyFont="1" applyFill="1"/>
    <xf numFmtId="165" fontId="4" fillId="5" borderId="0" xfId="0" applyNumberFormat="1" applyFont="1" applyFill="1"/>
    <xf numFmtId="0" fontId="4" fillId="0" borderId="8" xfId="0" applyFont="1" applyBorder="1"/>
    <xf numFmtId="165" fontId="4" fillId="3" borderId="0" xfId="0" applyNumberFormat="1" applyFont="1" applyFill="1"/>
    <xf numFmtId="165" fontId="4" fillId="0" borderId="7" xfId="0" applyNumberFormat="1" applyFont="1" applyBorder="1"/>
    <xf numFmtId="168" fontId="4" fillId="5" borderId="0" xfId="0" applyNumberFormat="1" applyFont="1" applyFill="1" applyBorder="1" applyAlignment="1">
      <alignment horizontal="right"/>
    </xf>
    <xf numFmtId="3" fontId="9" fillId="0" borderId="2" xfId="0" applyNumberFormat="1" applyFont="1" applyBorder="1" applyAlignment="1">
      <alignment horizontal="center" vertical="center" wrapText="1"/>
    </xf>
    <xf numFmtId="168" fontId="4" fillId="0" borderId="1" xfId="0" applyNumberFormat="1" applyFont="1" applyFill="1" applyBorder="1" applyAlignment="1">
      <alignment horizontal="right" vertical="center"/>
    </xf>
    <xf numFmtId="167" fontId="12" fillId="0" borderId="1" xfId="1" applyNumberFormat="1" applyFont="1" applyBorder="1" applyAlignment="1">
      <alignment horizontal="center" vertical="center" wrapText="1"/>
    </xf>
    <xf numFmtId="167" fontId="12" fillId="0" borderId="1" xfId="1" applyNumberFormat="1" applyFont="1" applyFill="1" applyBorder="1" applyAlignment="1">
      <alignment horizontal="center" vertical="center" wrapText="1"/>
    </xf>
    <xf numFmtId="167" fontId="4" fillId="0" borderId="1" xfId="1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Fill="1" applyBorder="1"/>
    <xf numFmtId="0" fontId="12" fillId="0" borderId="0" xfId="0" applyFont="1" applyFill="1"/>
    <xf numFmtId="0" fontId="19" fillId="0" borderId="0" xfId="0" applyFont="1"/>
    <xf numFmtId="0" fontId="19" fillId="0" borderId="0" xfId="0" applyFont="1" applyFill="1" applyBorder="1" applyAlignment="1">
      <alignment horizontal="left" wrapText="1"/>
    </xf>
    <xf numFmtId="0" fontId="19" fillId="0" borderId="0" xfId="0" applyFont="1" applyAlignment="1">
      <alignment horizontal="left"/>
    </xf>
    <xf numFmtId="0" fontId="19" fillId="0" borderId="0" xfId="0" applyFont="1" applyFill="1"/>
    <xf numFmtId="0" fontId="19" fillId="0" borderId="0" xfId="0" applyFont="1" applyFill="1" applyBorder="1" applyAlignment="1"/>
    <xf numFmtId="169" fontId="19" fillId="0" borderId="0" xfId="0" applyNumberFormat="1" applyFont="1" applyFill="1"/>
    <xf numFmtId="165" fontId="12" fillId="0" borderId="0" xfId="0" applyNumberFormat="1" applyFont="1" applyFill="1"/>
    <xf numFmtId="170" fontId="12" fillId="0" borderId="0" xfId="0" applyNumberFormat="1" applyFont="1" applyBorder="1"/>
    <xf numFmtId="0" fontId="20" fillId="0" borderId="0" xfId="0" applyFont="1" applyAlignment="1">
      <alignment horizontal="left"/>
    </xf>
    <xf numFmtId="0" fontId="20" fillId="0" borderId="0" xfId="0" applyFont="1"/>
    <xf numFmtId="165" fontId="19" fillId="0" borderId="0" xfId="0" applyNumberFormat="1" applyFont="1"/>
    <xf numFmtId="0" fontId="20" fillId="0" borderId="0" xfId="0" applyFont="1" applyFill="1" applyBorder="1" applyAlignment="1"/>
    <xf numFmtId="0" fontId="4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165" fontId="12" fillId="0" borderId="0" xfId="0" applyNumberFormat="1" applyFont="1" applyBorder="1" applyAlignment="1">
      <alignment horizontal="center" vertical="top" wrapText="1"/>
    </xf>
    <xf numFmtId="171" fontId="4" fillId="5" borderId="0" xfId="0" applyNumberFormat="1" applyFont="1" applyFill="1" applyBorder="1"/>
    <xf numFmtId="0" fontId="4" fillId="0" borderId="0" xfId="0" applyFont="1" applyBorder="1" applyAlignment="1">
      <alignment vertical="top" wrapText="1"/>
    </xf>
    <xf numFmtId="167" fontId="7" fillId="6" borderId="1" xfId="1" applyNumberFormat="1" applyFont="1" applyFill="1" applyBorder="1" applyAlignment="1">
      <alignment horizontal="center" vertical="center" wrapText="1"/>
    </xf>
    <xf numFmtId="168" fontId="7" fillId="6" borderId="1" xfId="1" applyNumberFormat="1" applyFont="1" applyFill="1" applyBorder="1" applyAlignment="1">
      <alignment horizontal="right" vertical="center" wrapText="1"/>
    </xf>
    <xf numFmtId="167" fontId="7" fillId="6" borderId="1" xfId="1" applyNumberFormat="1" applyFont="1" applyFill="1" applyBorder="1" applyAlignment="1">
      <alignment horizontal="right" vertical="center" wrapText="1"/>
    </xf>
    <xf numFmtId="167" fontId="7" fillId="6" borderId="2" xfId="1" applyNumberFormat="1" applyFont="1" applyFill="1" applyBorder="1" applyAlignment="1">
      <alignment horizontal="center" vertical="center" wrapText="1"/>
    </xf>
    <xf numFmtId="167" fontId="10" fillId="7" borderId="1" xfId="1" applyNumberFormat="1" applyFont="1" applyFill="1" applyBorder="1" applyAlignment="1">
      <alignment horizontal="center" vertical="center" wrapText="1"/>
    </xf>
    <xf numFmtId="168" fontId="10" fillId="7" borderId="1" xfId="1" applyNumberFormat="1" applyFont="1" applyFill="1" applyBorder="1" applyAlignment="1">
      <alignment horizontal="right" vertical="center" wrapText="1"/>
    </xf>
    <xf numFmtId="167" fontId="7" fillId="7" borderId="1" xfId="1" applyNumberFormat="1" applyFont="1" applyFill="1" applyBorder="1" applyAlignment="1">
      <alignment horizontal="center" vertical="center" wrapText="1"/>
    </xf>
    <xf numFmtId="167" fontId="4" fillId="0" borderId="2" xfId="1" applyNumberFormat="1" applyFont="1" applyBorder="1" applyAlignment="1">
      <alignment horizontal="center" vertical="center" wrapText="1"/>
    </xf>
    <xf numFmtId="167" fontId="4" fillId="0" borderId="9" xfId="1" applyNumberFormat="1" applyFont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top" wrapText="1"/>
    </xf>
    <xf numFmtId="0" fontId="12" fillId="4" borderId="10" xfId="0" applyFont="1" applyFill="1" applyBorder="1" applyAlignment="1">
      <alignment horizontal="center" vertical="top" wrapText="1"/>
    </xf>
    <xf numFmtId="0" fontId="12" fillId="4" borderId="9" xfId="0" applyFont="1" applyFill="1" applyBorder="1" applyAlignment="1">
      <alignment horizontal="center" vertical="top" wrapText="1"/>
    </xf>
    <xf numFmtId="0" fontId="12" fillId="4" borderId="2" xfId="0" applyFont="1" applyFill="1" applyBorder="1" applyAlignment="1">
      <alignment horizontal="left" vertical="top" wrapText="1"/>
    </xf>
    <xf numFmtId="0" fontId="13" fillId="4" borderId="10" xfId="0" applyFont="1" applyFill="1" applyBorder="1" applyAlignment="1">
      <alignment horizontal="left" vertical="top" wrapText="1"/>
    </xf>
    <xf numFmtId="0" fontId="13" fillId="4" borderId="9" xfId="0" applyFont="1" applyFill="1" applyBorder="1" applyAlignment="1">
      <alignment horizontal="left" vertical="top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top" wrapText="1"/>
    </xf>
    <xf numFmtId="0" fontId="13" fillId="4" borderId="9" xfId="0" applyFont="1" applyFill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167" fontId="7" fillId="7" borderId="2" xfId="1" applyNumberFormat="1" applyFont="1" applyFill="1" applyBorder="1" applyAlignment="1">
      <alignment horizontal="center" vertical="center" wrapText="1"/>
    </xf>
    <xf numFmtId="167" fontId="7" fillId="7" borderId="9" xfId="1" applyNumberFormat="1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top" wrapText="1"/>
    </xf>
    <xf numFmtId="0" fontId="14" fillId="4" borderId="9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2" fillId="4" borderId="10" xfId="0" applyFont="1" applyFill="1" applyBorder="1" applyAlignment="1">
      <alignment horizontal="left" vertical="top" wrapText="1"/>
    </xf>
    <xf numFmtId="0" fontId="12" fillId="4" borderId="9" xfId="0" applyFont="1" applyFill="1" applyBorder="1" applyAlignment="1">
      <alignment horizontal="left" vertical="top" wrapText="1"/>
    </xf>
    <xf numFmtId="0" fontId="12" fillId="0" borderId="10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top" wrapText="1"/>
    </xf>
    <xf numFmtId="0" fontId="7" fillId="4" borderId="10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4" fillId="4" borderId="2" xfId="0" applyFont="1" applyFill="1" applyBorder="1" applyAlignment="1">
      <alignment horizontal="center" vertical="top" wrapText="1"/>
    </xf>
    <xf numFmtId="0" fontId="7" fillId="4" borderId="10" xfId="0" applyFont="1" applyFill="1" applyBorder="1" applyAlignment="1">
      <alignment horizontal="center" vertical="top" wrapText="1"/>
    </xf>
    <xf numFmtId="0" fontId="7" fillId="4" borderId="9" xfId="0" applyFont="1" applyFill="1" applyBorder="1" applyAlignment="1">
      <alignment horizontal="center" vertical="top" wrapText="1"/>
    </xf>
    <xf numFmtId="16" fontId="4" fillId="0" borderId="2" xfId="0" applyNumberFormat="1" applyFont="1" applyBorder="1" applyAlignment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10" xfId="0" applyFont="1" applyFill="1" applyBorder="1" applyAlignment="1">
      <alignment horizontal="left" vertical="top" wrapText="1"/>
    </xf>
    <xf numFmtId="0" fontId="14" fillId="0" borderId="9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165" fontId="12" fillId="0" borderId="10" xfId="0" applyNumberFormat="1" applyFont="1" applyBorder="1" applyAlignment="1">
      <alignment horizontal="center" vertical="top" wrapText="1"/>
    </xf>
    <xf numFmtId="165" fontId="12" fillId="0" borderId="9" xfId="0" applyNumberFormat="1" applyFont="1" applyBorder="1" applyAlignment="1">
      <alignment horizontal="center" vertical="top" wrapText="1"/>
    </xf>
    <xf numFmtId="0" fontId="15" fillId="4" borderId="10" xfId="0" applyFont="1" applyFill="1" applyBorder="1" applyAlignment="1">
      <alignment horizontal="center" vertical="top" wrapText="1"/>
    </xf>
    <xf numFmtId="0" fontId="15" fillId="4" borderId="9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right" vertical="center" wrapText="1"/>
    </xf>
    <xf numFmtId="0" fontId="8" fillId="0" borderId="10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 wrapText="1"/>
    </xf>
    <xf numFmtId="165" fontId="4" fillId="0" borderId="5" xfId="0" applyNumberFormat="1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center" vertical="center" wrapText="1"/>
    </xf>
    <xf numFmtId="165" fontId="4" fillId="0" borderId="12" xfId="0" applyNumberFormat="1" applyFont="1" applyBorder="1" applyAlignment="1">
      <alignment horizontal="center" vertical="center" wrapText="1"/>
    </xf>
    <xf numFmtId="165" fontId="4" fillId="0" borderId="13" xfId="0" applyNumberFormat="1" applyFont="1" applyBorder="1" applyAlignment="1">
      <alignment horizontal="center" vertical="center" wrapText="1"/>
    </xf>
    <xf numFmtId="165" fontId="4" fillId="0" borderId="11" xfId="0" applyNumberFormat="1" applyFont="1" applyBorder="1" applyAlignment="1">
      <alignment horizontal="center" vertical="center" wrapText="1"/>
    </xf>
    <xf numFmtId="168" fontId="4" fillId="0" borderId="2" xfId="0" applyNumberFormat="1" applyFont="1" applyBorder="1" applyAlignment="1">
      <alignment horizontal="center" vertical="center" wrapText="1"/>
    </xf>
    <xf numFmtId="168" fontId="4" fillId="0" borderId="9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left" vertical="top" wrapText="1"/>
    </xf>
    <xf numFmtId="0" fontId="14" fillId="4" borderId="9" xfId="0" applyFont="1" applyFill="1" applyBorder="1" applyAlignment="1">
      <alignment horizontal="left" vertical="top" wrapText="1"/>
    </xf>
    <xf numFmtId="0" fontId="14" fillId="4" borderId="2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0"/>
  <sheetViews>
    <sheetView zoomScale="130" zoomScaleNormal="130" workbookViewId="0">
      <selection activeCell="M46" sqref="M46"/>
    </sheetView>
  </sheetViews>
  <sheetFormatPr defaultRowHeight="15"/>
  <cols>
    <col min="1" max="1" width="17.85546875" customWidth="1"/>
    <col min="2" max="2" width="14" hidden="1" customWidth="1"/>
    <col min="3" max="3" width="13.140625" hidden="1" customWidth="1"/>
    <col min="4" max="4" width="16.42578125" customWidth="1"/>
    <col min="5" max="5" width="15.42578125" customWidth="1"/>
    <col min="6" max="6" width="14.42578125" hidden="1" customWidth="1"/>
    <col min="7" max="7" width="18.42578125" hidden="1" customWidth="1"/>
    <col min="8" max="8" width="17.7109375" hidden="1" customWidth="1"/>
    <col min="9" max="9" width="18.28515625" hidden="1" customWidth="1"/>
    <col min="11" max="11" width="13.7109375" customWidth="1"/>
    <col min="12" max="12" width="8.42578125" customWidth="1"/>
    <col min="13" max="13" width="11.140625" customWidth="1"/>
    <col min="15" max="15" width="15.85546875" customWidth="1"/>
  </cols>
  <sheetData>
    <row r="1" spans="1:9">
      <c r="A1" s="1"/>
      <c r="B1" s="1" t="s">
        <v>33</v>
      </c>
      <c r="C1" s="1" t="s">
        <v>34</v>
      </c>
      <c r="D1" s="1" t="s">
        <v>41</v>
      </c>
      <c r="E1" s="1" t="s">
        <v>42</v>
      </c>
      <c r="F1" s="1" t="s">
        <v>35</v>
      </c>
      <c r="G1" s="1" t="s">
        <v>36</v>
      </c>
      <c r="H1" s="1" t="s">
        <v>43</v>
      </c>
      <c r="I1" s="1" t="s">
        <v>44</v>
      </c>
    </row>
    <row r="2" spans="1:9">
      <c r="A2" s="4" t="s">
        <v>32</v>
      </c>
      <c r="B2" s="4">
        <v>20876.057000000001</v>
      </c>
      <c r="C2" s="4">
        <v>20901.004550000001</v>
      </c>
      <c r="D2" s="4">
        <v>22722.201000000001</v>
      </c>
      <c r="E2" s="4">
        <v>22722.201000000001</v>
      </c>
      <c r="F2" s="4">
        <v>22913.006000000001</v>
      </c>
      <c r="G2" s="4">
        <v>22913.006000000001</v>
      </c>
      <c r="H2" s="4">
        <v>22361.696</v>
      </c>
      <c r="I2" s="4">
        <v>22361.696</v>
      </c>
    </row>
    <row r="3" spans="1:9">
      <c r="A3" s="4" t="s">
        <v>0</v>
      </c>
      <c r="B3" s="4">
        <v>17393.106</v>
      </c>
      <c r="C3" s="4">
        <v>17393.106</v>
      </c>
      <c r="D3" s="4">
        <v>17670.485000000001</v>
      </c>
      <c r="E3" s="4">
        <v>17670.485000000001</v>
      </c>
      <c r="F3" s="4">
        <v>18699.487000000001</v>
      </c>
      <c r="H3" s="4">
        <v>19414.481</v>
      </c>
      <c r="I3" s="4">
        <v>19414.481</v>
      </c>
    </row>
    <row r="4" spans="1:9" hidden="1">
      <c r="A4" s="8" t="s">
        <v>22</v>
      </c>
      <c r="B4" s="8"/>
      <c r="C4" s="4"/>
      <c r="D4">
        <v>0</v>
      </c>
      <c r="E4">
        <v>0</v>
      </c>
      <c r="F4">
        <v>0</v>
      </c>
      <c r="H4">
        <v>0</v>
      </c>
    </row>
    <row r="5" spans="1:9" hidden="1">
      <c r="A5" s="8" t="s">
        <v>23</v>
      </c>
      <c r="B5" s="8"/>
      <c r="C5" s="4"/>
      <c r="D5">
        <v>14907.731</v>
      </c>
      <c r="E5">
        <v>14907.731</v>
      </c>
      <c r="F5">
        <v>15546.277</v>
      </c>
      <c r="H5">
        <v>16081.396000000001</v>
      </c>
      <c r="I5">
        <v>16081.396000000001</v>
      </c>
    </row>
    <row r="6" spans="1:9" hidden="1">
      <c r="A6" s="8" t="s">
        <v>24</v>
      </c>
      <c r="B6" s="8"/>
      <c r="C6" s="4"/>
      <c r="D6">
        <v>2762.7539999999999</v>
      </c>
      <c r="E6">
        <v>2762.7539999999999</v>
      </c>
      <c r="F6">
        <v>3153.21</v>
      </c>
      <c r="H6">
        <v>3333.085</v>
      </c>
      <c r="I6">
        <v>3333.085</v>
      </c>
    </row>
    <row r="7" spans="1:9">
      <c r="A7" s="4" t="s">
        <v>1</v>
      </c>
      <c r="B7" s="4">
        <v>68900.206999999995</v>
      </c>
      <c r="C7" s="3">
        <v>69044.206999999995</v>
      </c>
      <c r="D7" s="4">
        <v>70384.271999999997</v>
      </c>
      <c r="E7" s="4">
        <v>70528.271999999997</v>
      </c>
      <c r="F7" s="4">
        <v>69048.188999999998</v>
      </c>
      <c r="G7" s="4">
        <v>69192.188999999998</v>
      </c>
      <c r="H7" s="4">
        <v>69955.031000000003</v>
      </c>
      <c r="I7" s="4">
        <v>70099.031000000003</v>
      </c>
    </row>
    <row r="8" spans="1:9" hidden="1">
      <c r="A8" s="8" t="s">
        <v>8</v>
      </c>
      <c r="B8" s="8"/>
      <c r="C8">
        <v>214.45</v>
      </c>
      <c r="D8">
        <v>75.582999999999998</v>
      </c>
      <c r="E8">
        <v>75.582999999999998</v>
      </c>
      <c r="F8">
        <v>0</v>
      </c>
      <c r="G8">
        <v>0</v>
      </c>
      <c r="H8">
        <v>0</v>
      </c>
      <c r="I8">
        <v>0</v>
      </c>
    </row>
    <row r="9" spans="1:9" hidden="1">
      <c r="A9" s="8" t="s">
        <v>2</v>
      </c>
      <c r="B9" s="8"/>
      <c r="D9">
        <v>0</v>
      </c>
      <c r="E9">
        <v>0</v>
      </c>
      <c r="F9">
        <v>0</v>
      </c>
      <c r="G9">
        <v>0</v>
      </c>
      <c r="H9">
        <v>0</v>
      </c>
      <c r="I9">
        <v>0</v>
      </c>
    </row>
    <row r="10" spans="1:9" hidden="1">
      <c r="A10" s="8" t="s">
        <v>7</v>
      </c>
      <c r="B10" s="8"/>
      <c r="C10">
        <v>1033.886</v>
      </c>
      <c r="D10">
        <v>1088.1479999999999</v>
      </c>
      <c r="E10">
        <v>1088.1479999999999</v>
      </c>
      <c r="F10">
        <v>0</v>
      </c>
      <c r="G10">
        <v>0</v>
      </c>
      <c r="H10">
        <v>0</v>
      </c>
      <c r="I10">
        <v>0</v>
      </c>
    </row>
    <row r="11" spans="1:9" hidden="1">
      <c r="A11" s="8" t="s">
        <v>3</v>
      </c>
      <c r="B11" s="8"/>
      <c r="C11">
        <v>48971.845999999998</v>
      </c>
      <c r="D11">
        <v>49966.985000000001</v>
      </c>
      <c r="E11">
        <v>49966.985000000001</v>
      </c>
      <c r="F11">
        <v>49930.506000000001</v>
      </c>
      <c r="G11">
        <v>49930.506000000001</v>
      </c>
      <c r="H11">
        <v>50526.542999999998</v>
      </c>
      <c r="I11">
        <v>50526.542999999998</v>
      </c>
    </row>
    <row r="12" spans="1:9" hidden="1">
      <c r="A12" s="8" t="s">
        <v>4</v>
      </c>
      <c r="B12" s="8"/>
      <c r="C12">
        <v>11681.798000000001</v>
      </c>
      <c r="D12">
        <v>11825.993</v>
      </c>
      <c r="E12">
        <v>11825.993</v>
      </c>
      <c r="F12">
        <v>11831.459000000001</v>
      </c>
      <c r="G12">
        <v>11831.459000000001</v>
      </c>
      <c r="H12">
        <v>12028.857</v>
      </c>
      <c r="I12">
        <v>12028.857</v>
      </c>
    </row>
    <row r="13" spans="1:9" hidden="1">
      <c r="A13" s="8" t="s">
        <v>5</v>
      </c>
      <c r="B13" s="8"/>
      <c r="C13">
        <v>6998.2269999999999</v>
      </c>
      <c r="D13">
        <v>7427.5630000000001</v>
      </c>
      <c r="E13">
        <v>7427.5630000000001</v>
      </c>
      <c r="F13">
        <v>7286.2240000000002</v>
      </c>
      <c r="G13">
        <v>7286.2240000000002</v>
      </c>
      <c r="H13">
        <v>7399.6310000000003</v>
      </c>
      <c r="I13">
        <v>7399.6310000000003</v>
      </c>
    </row>
    <row r="14" spans="1:9" hidden="1">
      <c r="A14" s="8" t="s">
        <v>6</v>
      </c>
      <c r="B14" s="8"/>
      <c r="C14">
        <v>144</v>
      </c>
      <c r="D14">
        <v>0</v>
      </c>
      <c r="E14">
        <v>144</v>
      </c>
      <c r="F14">
        <v>0</v>
      </c>
      <c r="G14">
        <v>144</v>
      </c>
      <c r="H14">
        <v>0</v>
      </c>
      <c r="I14">
        <v>144</v>
      </c>
    </row>
    <row r="15" spans="1:9">
      <c r="A15" s="7" t="s">
        <v>9</v>
      </c>
      <c r="B15" s="4">
        <v>3092.0369999999998</v>
      </c>
      <c r="C15" s="4">
        <v>8623.5106799999994</v>
      </c>
      <c r="D15" s="4">
        <v>3362.5360000000001</v>
      </c>
      <c r="E15" s="4">
        <v>3362.5360000000001</v>
      </c>
      <c r="F15" s="4">
        <v>3529.1410000000001</v>
      </c>
      <c r="G15" s="4">
        <v>3529.1410000000001</v>
      </c>
      <c r="H15" s="4">
        <v>3672.1579999999999</v>
      </c>
      <c r="I15" s="4">
        <v>3672.1579999999999</v>
      </c>
    </row>
    <row r="16" spans="1:9">
      <c r="A16" s="7" t="s">
        <v>10</v>
      </c>
      <c r="B16" s="4">
        <v>19290.412</v>
      </c>
      <c r="C16" s="4">
        <v>19290.412</v>
      </c>
      <c r="D16" s="4">
        <v>22034.955999999998</v>
      </c>
      <c r="E16" s="4">
        <v>22034.955999999998</v>
      </c>
      <c r="F16" s="4">
        <v>22081.973999999998</v>
      </c>
      <c r="G16" s="4">
        <v>22081.973999999998</v>
      </c>
      <c r="H16" s="4">
        <v>22433.264999999999</v>
      </c>
      <c r="I16" s="4">
        <v>22433.264999999999</v>
      </c>
    </row>
    <row r="17" spans="1:9" hidden="1">
      <c r="A17" s="8" t="s">
        <v>25</v>
      </c>
      <c r="B17" s="8"/>
      <c r="C17" s="4"/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</row>
    <row r="18" spans="1:9" hidden="1">
      <c r="A18" s="8" t="s">
        <v>26</v>
      </c>
      <c r="B18" s="8"/>
      <c r="C18" s="5">
        <v>58.834000000000003</v>
      </c>
      <c r="D18">
        <v>792.38</v>
      </c>
      <c r="E18">
        <v>792.38</v>
      </c>
      <c r="F18">
        <v>0</v>
      </c>
      <c r="G18">
        <v>0</v>
      </c>
      <c r="H18">
        <v>0</v>
      </c>
      <c r="I18">
        <v>0</v>
      </c>
    </row>
    <row r="19" spans="1:9" hidden="1">
      <c r="A19" s="8" t="s">
        <v>27</v>
      </c>
      <c r="B19" s="8"/>
      <c r="C19" s="4"/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</row>
    <row r="20" spans="1:9" hidden="1">
      <c r="A20" s="8" t="s">
        <v>28</v>
      </c>
      <c r="B20" s="8"/>
      <c r="C20" s="5">
        <v>8.7289999999999992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</row>
    <row r="21" spans="1:9" hidden="1">
      <c r="A21" s="8" t="s">
        <v>29</v>
      </c>
      <c r="B21" s="8"/>
      <c r="C21" s="5">
        <v>10230.582</v>
      </c>
      <c r="D21">
        <v>11705.901</v>
      </c>
      <c r="E21">
        <v>11705.901</v>
      </c>
      <c r="F21">
        <v>12179.847</v>
      </c>
      <c r="G21">
        <v>12179.847</v>
      </c>
      <c r="H21">
        <v>12483.027</v>
      </c>
      <c r="I21">
        <v>12483.027</v>
      </c>
    </row>
    <row r="22" spans="1:9" hidden="1">
      <c r="A22" s="8" t="s">
        <v>30</v>
      </c>
      <c r="B22" s="8"/>
      <c r="C22" s="5">
        <v>4422.9110000000001</v>
      </c>
      <c r="D22">
        <v>4543.0619999999999</v>
      </c>
      <c r="E22">
        <v>4543.0619999999999</v>
      </c>
      <c r="F22">
        <v>4715.3019999999997</v>
      </c>
      <c r="G22">
        <v>4715.3019999999997</v>
      </c>
      <c r="H22">
        <v>4748.9769999999999</v>
      </c>
      <c r="I22">
        <v>4748.9769999999999</v>
      </c>
    </row>
    <row r="23" spans="1:9" hidden="1">
      <c r="A23" s="8" t="s">
        <v>31</v>
      </c>
      <c r="B23" s="8"/>
      <c r="C23" s="5">
        <v>4569.3559999999998</v>
      </c>
      <c r="D23">
        <v>4993.6130000000003</v>
      </c>
      <c r="E23">
        <v>4993.6130000000003</v>
      </c>
      <c r="F23">
        <v>5186.8249999999998</v>
      </c>
      <c r="G23">
        <v>5186.8249999999998</v>
      </c>
      <c r="H23">
        <v>5201.2610000000004</v>
      </c>
      <c r="I23">
        <v>5201.2610000000004</v>
      </c>
    </row>
    <row r="24" spans="1:9">
      <c r="A24" s="7" t="s">
        <v>11</v>
      </c>
      <c r="B24" s="4">
        <v>7737.5919999999996</v>
      </c>
      <c r="C24" s="4">
        <v>7737.5919999999996</v>
      </c>
      <c r="D24" s="4">
        <v>6644.36</v>
      </c>
      <c r="E24" s="4">
        <v>6644.36</v>
      </c>
      <c r="F24" s="4">
        <v>1202.3779999999999</v>
      </c>
      <c r="G24" s="4">
        <v>1202.3779999999999</v>
      </c>
      <c r="H24" s="4">
        <v>0</v>
      </c>
    </row>
    <row r="25" spans="1:9">
      <c r="A25" s="7" t="s">
        <v>12</v>
      </c>
      <c r="B25" s="4">
        <v>238</v>
      </c>
      <c r="C25" s="4">
        <v>238</v>
      </c>
      <c r="D25" s="4">
        <v>200</v>
      </c>
      <c r="E25" s="4">
        <v>200</v>
      </c>
      <c r="F25" s="4">
        <v>200</v>
      </c>
      <c r="G25" s="4">
        <v>200</v>
      </c>
      <c r="H25" s="4">
        <v>0</v>
      </c>
    </row>
    <row r="26" spans="1:9">
      <c r="A26" s="7" t="s">
        <v>13</v>
      </c>
      <c r="B26" s="7"/>
      <c r="D26">
        <v>0</v>
      </c>
      <c r="E26">
        <v>0</v>
      </c>
      <c r="F26">
        <v>0</v>
      </c>
      <c r="G26">
        <v>0</v>
      </c>
      <c r="H26">
        <v>0</v>
      </c>
    </row>
    <row r="27" spans="1:9">
      <c r="A27" s="7" t="s">
        <v>14</v>
      </c>
      <c r="B27" s="4">
        <v>6237.6570000000002</v>
      </c>
      <c r="C27" s="4">
        <v>6237.6570000000002</v>
      </c>
      <c r="D27" s="4">
        <v>2512.7890000000002</v>
      </c>
      <c r="E27" s="4">
        <v>2512.7890000000002</v>
      </c>
      <c r="F27" s="4">
        <v>0</v>
      </c>
      <c r="G27" s="4">
        <v>0</v>
      </c>
      <c r="H27" s="4">
        <v>505.11599999999999</v>
      </c>
      <c r="I27" s="4">
        <v>10102.311</v>
      </c>
    </row>
    <row r="28" spans="1:9" hidden="1">
      <c r="A28" s="8" t="s">
        <v>15</v>
      </c>
      <c r="B28" s="8"/>
      <c r="C28" s="5">
        <v>1660.9970000000001</v>
      </c>
      <c r="D28">
        <v>399.98899999999998</v>
      </c>
      <c r="E28">
        <v>399.98899999999998</v>
      </c>
      <c r="F28" s="4">
        <v>0</v>
      </c>
      <c r="G28" s="4">
        <v>0</v>
      </c>
      <c r="H28" s="4">
        <v>0</v>
      </c>
      <c r="I28" s="4">
        <v>0</v>
      </c>
    </row>
    <row r="29" spans="1:9" hidden="1">
      <c r="A29" s="8" t="s">
        <v>16</v>
      </c>
      <c r="B29" s="8"/>
      <c r="C29">
        <v>3000</v>
      </c>
      <c r="D29">
        <v>0</v>
      </c>
      <c r="E29">
        <v>0</v>
      </c>
      <c r="F29" s="4">
        <v>0</v>
      </c>
      <c r="G29" s="4">
        <v>0</v>
      </c>
      <c r="H29" s="4">
        <v>0</v>
      </c>
      <c r="I29" s="4">
        <v>0</v>
      </c>
    </row>
    <row r="30" spans="1:9" hidden="1">
      <c r="A30" s="8" t="s">
        <v>17</v>
      </c>
      <c r="B30" s="8"/>
      <c r="C30">
        <v>1500</v>
      </c>
      <c r="D30">
        <v>2000</v>
      </c>
      <c r="E30">
        <v>2000</v>
      </c>
      <c r="F30" s="4">
        <v>0</v>
      </c>
      <c r="G30" s="4">
        <v>0</v>
      </c>
      <c r="H30" s="4">
        <v>0</v>
      </c>
      <c r="I30" s="4">
        <v>0</v>
      </c>
    </row>
    <row r="31" spans="1:9" hidden="1">
      <c r="A31" s="8" t="s">
        <v>18</v>
      </c>
      <c r="B31" s="8"/>
      <c r="C31">
        <v>76.66</v>
      </c>
      <c r="D31">
        <v>112.8</v>
      </c>
      <c r="E31">
        <v>112.8</v>
      </c>
      <c r="F31" s="4">
        <v>0</v>
      </c>
      <c r="G31" s="4">
        <v>0</v>
      </c>
      <c r="H31" s="4">
        <v>0</v>
      </c>
      <c r="I31" s="4">
        <v>0</v>
      </c>
    </row>
    <row r="32" spans="1:9" hidden="1">
      <c r="A32" s="8" t="s">
        <v>45</v>
      </c>
      <c r="B32" s="8"/>
      <c r="F32" s="4"/>
      <c r="G32" s="4"/>
      <c r="H32" s="4">
        <v>505.11599999999999</v>
      </c>
      <c r="I32" s="4">
        <v>9597.1949999999997</v>
      </c>
    </row>
    <row r="33" spans="1:15" ht="21">
      <c r="A33" s="7" t="s">
        <v>19</v>
      </c>
      <c r="B33" s="4">
        <v>11739.934999999999</v>
      </c>
      <c r="C33" s="4">
        <v>11739.934999999999</v>
      </c>
      <c r="D33" s="4">
        <v>10823.208000000001</v>
      </c>
      <c r="E33" s="4">
        <v>10823.208000000001</v>
      </c>
      <c r="F33" s="4">
        <v>9984.1929999999993</v>
      </c>
      <c r="G33" s="4">
        <v>9984.1929999999993</v>
      </c>
      <c r="H33" s="4">
        <v>10163.021000000001</v>
      </c>
      <c r="I33" s="4">
        <v>10163.021000000001</v>
      </c>
      <c r="M33" s="12">
        <v>2019</v>
      </c>
      <c r="N33" s="12">
        <v>2020</v>
      </c>
      <c r="O33" s="12">
        <v>2021</v>
      </c>
    </row>
    <row r="34" spans="1:15" hidden="1">
      <c r="A34" s="6" t="s">
        <v>20</v>
      </c>
      <c r="B34" s="6"/>
      <c r="C34">
        <v>5955.7070000000003</v>
      </c>
      <c r="D34">
        <v>5166.3249999999998</v>
      </c>
      <c r="E34">
        <v>5166.3249999999998</v>
      </c>
      <c r="F34" s="5">
        <v>4763.5259999999998</v>
      </c>
      <c r="G34" s="5">
        <v>4763.5259999999998</v>
      </c>
      <c r="H34" s="5">
        <v>4763.5259999999998</v>
      </c>
      <c r="I34" s="5">
        <v>4763.5259999999998</v>
      </c>
    </row>
    <row r="35" spans="1:15" hidden="1">
      <c r="A35" s="2" t="s">
        <v>21</v>
      </c>
      <c r="B35" s="2"/>
      <c r="C35">
        <v>5784.2280000000001</v>
      </c>
      <c r="D35">
        <v>5656.8829999999998</v>
      </c>
      <c r="E35">
        <v>5656.8829999999998</v>
      </c>
      <c r="F35" s="5">
        <v>5220.6670000000004</v>
      </c>
      <c r="G35" s="5">
        <v>5220.6670000000004</v>
      </c>
      <c r="H35" s="5">
        <v>5399.4949999999999</v>
      </c>
      <c r="I35" s="5">
        <v>5399.4949999999999</v>
      </c>
    </row>
    <row r="36" spans="1:15" hidden="1"/>
    <row r="37" spans="1:15">
      <c r="A37" t="s">
        <v>38</v>
      </c>
      <c r="B37">
        <v>155505.003</v>
      </c>
      <c r="C37" s="9">
        <v>161205.42420000001</v>
      </c>
      <c r="D37">
        <v>156354.807</v>
      </c>
      <c r="E37" s="9">
        <v>156498.807</v>
      </c>
      <c r="F37">
        <v>147658.36799999999</v>
      </c>
      <c r="G37" s="9">
        <v>147802.36799999999</v>
      </c>
      <c r="H37">
        <v>148504.76800000001</v>
      </c>
      <c r="I37" s="9">
        <v>158245.96299999999</v>
      </c>
      <c r="M37">
        <v>4345</v>
      </c>
    </row>
    <row r="38" spans="1:15">
      <c r="A38" t="s">
        <v>37</v>
      </c>
      <c r="B38">
        <v>5278.6001699999997</v>
      </c>
      <c r="D38">
        <v>0</v>
      </c>
      <c r="F38">
        <v>0</v>
      </c>
      <c r="H38">
        <v>0</v>
      </c>
      <c r="M38">
        <v>200</v>
      </c>
    </row>
    <row r="39" spans="1:15">
      <c r="A39" t="s">
        <v>39</v>
      </c>
      <c r="B39">
        <v>421.82105999999999</v>
      </c>
      <c r="D39">
        <v>144</v>
      </c>
      <c r="F39">
        <v>144</v>
      </c>
      <c r="H39">
        <v>9741.1949999999997</v>
      </c>
      <c r="M39" s="11">
        <v>10</v>
      </c>
    </row>
    <row r="40" spans="1:15">
      <c r="A40" t="s">
        <v>40</v>
      </c>
      <c r="B40" s="4">
        <v>161205.42420000001</v>
      </c>
      <c r="D40" s="4">
        <v>156498.807</v>
      </c>
      <c r="F40">
        <v>147802.36799999999</v>
      </c>
      <c r="H40">
        <v>158245.96299999999</v>
      </c>
      <c r="M40" s="11">
        <v>45</v>
      </c>
    </row>
    <row r="41" spans="1:15">
      <c r="M41" s="11">
        <v>670.88599999999997</v>
      </c>
    </row>
    <row r="42" spans="1:15">
      <c r="M42" s="11">
        <v>788</v>
      </c>
    </row>
    <row r="43" spans="1:15">
      <c r="A43" t="s">
        <v>46</v>
      </c>
      <c r="M43" s="11">
        <v>448</v>
      </c>
    </row>
    <row r="44" spans="1:15">
      <c r="M44" s="11">
        <v>1500</v>
      </c>
    </row>
    <row r="45" spans="1:15">
      <c r="M45" s="11">
        <v>76.66</v>
      </c>
      <c r="N45">
        <v>4345</v>
      </c>
    </row>
    <row r="46" spans="1:15">
      <c r="M46" s="11">
        <v>5955.7969999999996</v>
      </c>
      <c r="N46">
        <v>2000</v>
      </c>
      <c r="O46">
        <v>20436.890530000001</v>
      </c>
    </row>
    <row r="47" spans="1:15" ht="15.75">
      <c r="L47" t="s">
        <v>71</v>
      </c>
      <c r="M47" s="11">
        <v>14039.343000000001</v>
      </c>
      <c r="N47">
        <v>6345</v>
      </c>
      <c r="O47" s="10">
        <v>20436.890530000001</v>
      </c>
    </row>
    <row r="50" spans="13:15">
      <c r="M50" s="11"/>
      <c r="O50">
        <v>40821.233500000002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311"/>
  <sheetViews>
    <sheetView tabSelected="1" view="pageBreakPreview" topLeftCell="A264" zoomScale="120" zoomScaleNormal="100" zoomScaleSheetLayoutView="120" workbookViewId="0">
      <selection activeCell="C201" sqref="C201:C206"/>
    </sheetView>
  </sheetViews>
  <sheetFormatPr defaultColWidth="9" defaultRowHeight="21.75" customHeight="1"/>
  <cols>
    <col min="1" max="1" width="5" style="60" customWidth="1"/>
    <col min="2" max="2" width="34" style="29" customWidth="1"/>
    <col min="3" max="3" width="7.85546875" style="29" customWidth="1"/>
    <col min="4" max="4" width="29.42578125" style="29" customWidth="1"/>
    <col min="5" max="5" width="24.85546875" style="29" customWidth="1"/>
    <col min="6" max="6" width="16" style="61" customWidth="1"/>
    <col min="7" max="7" width="14.42578125" style="29" customWidth="1"/>
    <col min="8" max="8" width="13.140625" style="62" customWidth="1"/>
    <col min="9" max="9" width="13.42578125" style="62" customWidth="1"/>
    <col min="10" max="10" width="14.5703125" style="62" customWidth="1"/>
    <col min="11" max="12" width="13.85546875" style="63" customWidth="1"/>
    <col min="13" max="13" width="9" style="28"/>
    <col min="14" max="14" width="25" style="28" customWidth="1"/>
    <col min="15" max="15" width="14" style="28" bestFit="1" customWidth="1"/>
    <col min="16" max="52" width="9" style="28"/>
    <col min="53" max="16384" width="9" style="29"/>
  </cols>
  <sheetData>
    <row r="1" spans="1:53" ht="21.75" customHeight="1">
      <c r="A1" s="26"/>
      <c r="B1" s="26"/>
      <c r="C1" s="26"/>
      <c r="D1" s="26"/>
      <c r="E1" s="26"/>
      <c r="F1" s="27"/>
      <c r="G1" s="159" t="s">
        <v>199</v>
      </c>
      <c r="H1" s="159"/>
      <c r="I1" s="159"/>
      <c r="J1" s="159"/>
      <c r="K1" s="159"/>
      <c r="L1" s="159"/>
    </row>
    <row r="2" spans="1:53" ht="21.75" customHeight="1">
      <c r="A2" s="26"/>
      <c r="B2" s="26"/>
      <c r="C2" s="26"/>
      <c r="D2" s="26"/>
      <c r="E2" s="26"/>
      <c r="F2" s="27"/>
      <c r="G2" s="159"/>
      <c r="H2" s="159"/>
      <c r="I2" s="159"/>
      <c r="J2" s="159"/>
      <c r="K2" s="159"/>
      <c r="L2" s="159"/>
    </row>
    <row r="3" spans="1:53" ht="21.75" customHeight="1">
      <c r="A3" s="26"/>
      <c r="B3" s="26"/>
      <c r="C3" s="26"/>
      <c r="D3" s="26"/>
      <c r="E3" s="26"/>
      <c r="F3" s="27"/>
      <c r="G3" s="89"/>
      <c r="H3" s="89"/>
      <c r="I3" s="89"/>
      <c r="J3" s="89"/>
      <c r="K3" s="89"/>
      <c r="L3" s="89"/>
    </row>
    <row r="4" spans="1:53" ht="21.75" customHeight="1">
      <c r="A4" s="26"/>
      <c r="B4" s="26"/>
      <c r="C4" s="26"/>
      <c r="D4" s="26"/>
      <c r="E4" s="26"/>
      <c r="F4" s="27"/>
      <c r="G4" s="159" t="s">
        <v>198</v>
      </c>
      <c r="H4" s="159"/>
      <c r="I4" s="159"/>
      <c r="J4" s="159"/>
      <c r="K4" s="159"/>
      <c r="L4" s="159"/>
    </row>
    <row r="5" spans="1:53" ht="21.75" customHeight="1">
      <c r="A5" s="26"/>
      <c r="B5" s="26"/>
      <c r="C5" s="26"/>
      <c r="D5" s="26"/>
      <c r="E5" s="26"/>
      <c r="F5" s="27"/>
      <c r="G5" s="159"/>
      <c r="H5" s="159"/>
      <c r="I5" s="159"/>
      <c r="J5" s="159"/>
      <c r="K5" s="159"/>
      <c r="L5" s="159"/>
    </row>
    <row r="6" spans="1:53" ht="10.5" customHeight="1">
      <c r="A6" s="26"/>
      <c r="B6" s="26"/>
      <c r="C6" s="26"/>
      <c r="D6" s="26"/>
      <c r="E6" s="26"/>
      <c r="F6" s="27"/>
      <c r="G6" s="89"/>
      <c r="H6" s="89"/>
      <c r="I6" s="89"/>
      <c r="J6" s="89"/>
      <c r="K6" s="89"/>
      <c r="L6" s="89"/>
    </row>
    <row r="7" spans="1:53" ht="21.75" customHeight="1">
      <c r="A7" s="160" t="s">
        <v>77</v>
      </c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</row>
    <row r="8" spans="1:53" ht="12" customHeight="1">
      <c r="A8" s="160"/>
      <c r="B8" s="160"/>
      <c r="C8" s="160"/>
      <c r="D8" s="160"/>
      <c r="E8" s="160"/>
      <c r="F8" s="160"/>
      <c r="G8" s="160"/>
      <c r="H8" s="160"/>
      <c r="I8" s="160"/>
      <c r="J8" s="160"/>
      <c r="K8" s="160"/>
      <c r="L8" s="160"/>
    </row>
    <row r="9" spans="1:53" ht="1.5" customHeight="1">
      <c r="A9" s="161"/>
      <c r="B9" s="161"/>
      <c r="C9" s="161"/>
      <c r="D9" s="161"/>
      <c r="E9" s="161"/>
      <c r="F9" s="161"/>
      <c r="G9" s="161"/>
      <c r="H9" s="161"/>
      <c r="I9" s="161"/>
      <c r="J9" s="161"/>
      <c r="K9" s="161"/>
      <c r="L9" s="161"/>
    </row>
    <row r="10" spans="1:53" ht="21.75" customHeight="1">
      <c r="A10" s="148" t="s">
        <v>48</v>
      </c>
      <c r="B10" s="148" t="s">
        <v>49</v>
      </c>
      <c r="C10" s="148" t="s">
        <v>50</v>
      </c>
      <c r="D10" s="148" t="s">
        <v>51</v>
      </c>
      <c r="E10" s="148" t="s">
        <v>52</v>
      </c>
      <c r="F10" s="148" t="s">
        <v>53</v>
      </c>
      <c r="G10" s="148" t="s">
        <v>76</v>
      </c>
      <c r="H10" s="151"/>
      <c r="I10" s="151"/>
      <c r="J10" s="151"/>
      <c r="K10" s="151"/>
      <c r="L10" s="151"/>
    </row>
    <row r="11" spans="1:53" ht="21.75" customHeight="1">
      <c r="A11" s="149"/>
      <c r="B11" s="149"/>
      <c r="C11" s="149"/>
      <c r="D11" s="149"/>
      <c r="E11" s="149"/>
      <c r="F11" s="149"/>
      <c r="G11" s="150"/>
      <c r="H11" s="152"/>
      <c r="I11" s="152"/>
      <c r="J11" s="152"/>
      <c r="K11" s="152"/>
      <c r="L11" s="152"/>
    </row>
    <row r="12" spans="1:53" s="26" customFormat="1" ht="21.75" customHeight="1">
      <c r="A12" s="149"/>
      <c r="B12" s="149"/>
      <c r="C12" s="149"/>
      <c r="D12" s="149"/>
      <c r="E12" s="149"/>
      <c r="F12" s="149"/>
      <c r="G12" s="148" t="s">
        <v>70</v>
      </c>
      <c r="H12" s="148" t="s">
        <v>73</v>
      </c>
      <c r="I12" s="148" t="s">
        <v>103</v>
      </c>
      <c r="J12" s="155" t="s">
        <v>127</v>
      </c>
      <c r="K12" s="153" t="s">
        <v>138</v>
      </c>
      <c r="L12" s="153" t="s">
        <v>177</v>
      </c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</row>
    <row r="13" spans="1:53" s="26" customFormat="1" ht="21.75" customHeight="1">
      <c r="A13" s="150"/>
      <c r="B13" s="150"/>
      <c r="C13" s="150"/>
      <c r="D13" s="150"/>
      <c r="E13" s="150"/>
      <c r="F13" s="150"/>
      <c r="G13" s="149"/>
      <c r="H13" s="149"/>
      <c r="I13" s="149"/>
      <c r="J13" s="155"/>
      <c r="K13" s="154"/>
      <c r="L13" s="154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</row>
    <row r="14" spans="1:53" s="31" customFormat="1" ht="21.75" customHeight="1">
      <c r="A14" s="18">
        <v>1</v>
      </c>
      <c r="B14" s="18">
        <v>2</v>
      </c>
      <c r="C14" s="18">
        <v>3</v>
      </c>
      <c r="D14" s="18">
        <v>4</v>
      </c>
      <c r="E14" s="18">
        <v>5</v>
      </c>
      <c r="F14" s="18">
        <v>6</v>
      </c>
      <c r="G14" s="18">
        <v>7</v>
      </c>
      <c r="H14" s="19">
        <v>8</v>
      </c>
      <c r="I14" s="19">
        <v>9</v>
      </c>
      <c r="J14" s="19">
        <v>10</v>
      </c>
      <c r="K14" s="64">
        <v>11</v>
      </c>
      <c r="L14" s="19">
        <v>12</v>
      </c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</row>
    <row r="15" spans="1:53" s="37" customFormat="1" ht="21.75" customHeight="1">
      <c r="A15" s="116" t="s">
        <v>54</v>
      </c>
      <c r="B15" s="119" t="s">
        <v>79</v>
      </c>
      <c r="C15" s="116" t="s">
        <v>179</v>
      </c>
      <c r="D15" s="119" t="s">
        <v>141</v>
      </c>
      <c r="E15" s="21" t="s">
        <v>47</v>
      </c>
      <c r="F15" s="96">
        <f t="shared" ref="F15:F46" si="0">G15+H15+I15+J15+K15+L15</f>
        <v>613942.75815999997</v>
      </c>
      <c r="G15" s="90">
        <f t="shared" ref="G15:L15" si="1">G21+G27+G33+G39+G45+G51+G57+G63</f>
        <v>88103.18</v>
      </c>
      <c r="H15" s="90">
        <f t="shared" si="1"/>
        <v>91707.334159999999</v>
      </c>
      <c r="I15" s="90">
        <f t="shared" si="1"/>
        <v>98967.611000000004</v>
      </c>
      <c r="J15" s="90">
        <f t="shared" si="1"/>
        <v>107762.383</v>
      </c>
      <c r="K15" s="91">
        <f>K21+K27+K33+K39+K45+K51+K57+K63</f>
        <v>110445.114</v>
      </c>
      <c r="L15" s="91">
        <f t="shared" si="1"/>
        <v>116957.136</v>
      </c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3"/>
      <c r="AS15" s="34"/>
      <c r="AT15" s="34"/>
      <c r="AU15" s="34"/>
      <c r="AV15" s="34"/>
      <c r="AW15" s="34"/>
      <c r="AX15" s="34"/>
      <c r="AY15" s="34"/>
      <c r="AZ15" s="35"/>
      <c r="BA15" s="36"/>
    </row>
    <row r="16" spans="1:53" s="37" customFormat="1" ht="21.75" customHeight="1">
      <c r="A16" s="117"/>
      <c r="B16" s="120"/>
      <c r="C16" s="117"/>
      <c r="D16" s="120"/>
      <c r="E16" s="21" t="s">
        <v>55</v>
      </c>
      <c r="F16" s="96">
        <f t="shared" si="0"/>
        <v>903.1</v>
      </c>
      <c r="G16" s="90">
        <f>G28+G34+G40+G46+G52+G58+G64</f>
        <v>0</v>
      </c>
      <c r="H16" s="90">
        <f>H22+H28+H34+H40+H46+H52+H58+H64</f>
        <v>903.1</v>
      </c>
      <c r="I16" s="90">
        <f>I22+I28+I34+I40+I46+I52+I58+I64</f>
        <v>0</v>
      </c>
      <c r="J16" s="90">
        <f>J22+J28+J34+J40+J46+J52+J58+J64</f>
        <v>0</v>
      </c>
      <c r="K16" s="92">
        <f>K22+K28+K34+K40+K46+K52+K58</f>
        <v>0</v>
      </c>
      <c r="L16" s="92">
        <f t="shared" ref="L16" si="2">L22+L28+L34+L40+L46+L52+L58</f>
        <v>0</v>
      </c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3"/>
      <c r="AS16" s="34"/>
      <c r="AT16" s="34"/>
      <c r="AU16" s="34"/>
      <c r="AV16" s="34"/>
      <c r="AW16" s="34"/>
      <c r="AX16" s="34"/>
      <c r="AY16" s="34"/>
      <c r="AZ16" s="35"/>
      <c r="BA16" s="36"/>
    </row>
    <row r="17" spans="1:53" s="37" customFormat="1" ht="27" customHeight="1">
      <c r="A17" s="117"/>
      <c r="B17" s="120"/>
      <c r="C17" s="117"/>
      <c r="D17" s="120"/>
      <c r="E17" s="21" t="s">
        <v>166</v>
      </c>
      <c r="F17" s="96">
        <f t="shared" si="0"/>
        <v>0</v>
      </c>
      <c r="G17" s="90">
        <f>G23+G29+G35+G41+G47+G53+G65</f>
        <v>0</v>
      </c>
      <c r="H17" s="90">
        <v>0</v>
      </c>
      <c r="I17" s="90">
        <v>0</v>
      </c>
      <c r="J17" s="90">
        <v>0</v>
      </c>
      <c r="K17" s="90">
        <v>0</v>
      </c>
      <c r="L17" s="90">
        <v>0</v>
      </c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3"/>
      <c r="AS17" s="34"/>
      <c r="AT17" s="34"/>
      <c r="AU17" s="34"/>
      <c r="AV17" s="34"/>
      <c r="AW17" s="34"/>
      <c r="AX17" s="34"/>
      <c r="AY17" s="34"/>
      <c r="AZ17" s="35"/>
      <c r="BA17" s="36"/>
    </row>
    <row r="18" spans="1:53" s="37" customFormat="1" ht="19.5" customHeight="1">
      <c r="A18" s="117"/>
      <c r="B18" s="120"/>
      <c r="C18" s="117"/>
      <c r="D18" s="120"/>
      <c r="E18" s="21" t="s">
        <v>56</v>
      </c>
      <c r="F18" s="96">
        <f t="shared" si="0"/>
        <v>706.15657999999996</v>
      </c>
      <c r="G18" s="90">
        <f>G24+G30+G36+G42+G48+G60+G66</f>
        <v>116.25</v>
      </c>
      <c r="H18" s="90">
        <f>H24+H30+H36+H42+H48+H54+H60+H66</f>
        <v>159.50657999999999</v>
      </c>
      <c r="I18" s="90">
        <f>I24+I30+I36+I42+I48+I54+I60+I66</f>
        <v>106.4</v>
      </c>
      <c r="J18" s="90">
        <f>J24+J30+J36+J42+J48+J54+J60+J66</f>
        <v>108</v>
      </c>
      <c r="K18" s="91">
        <f>K24+K30+K36+K42+K48+K54+K60</f>
        <v>108</v>
      </c>
      <c r="L18" s="91">
        <f>L24+L30+L36+L42+L48+L54+L60</f>
        <v>108</v>
      </c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3"/>
      <c r="AS18" s="34"/>
      <c r="AT18" s="34"/>
      <c r="AU18" s="34"/>
      <c r="AV18" s="34"/>
      <c r="AW18" s="34"/>
      <c r="AX18" s="34"/>
      <c r="AY18" s="34"/>
      <c r="AZ18" s="35"/>
      <c r="BA18" s="36"/>
    </row>
    <row r="19" spans="1:53" s="37" customFormat="1" ht="21.75" customHeight="1">
      <c r="A19" s="117"/>
      <c r="B19" s="120"/>
      <c r="C19" s="117"/>
      <c r="D19" s="120"/>
      <c r="E19" s="21" t="s">
        <v>57</v>
      </c>
      <c r="F19" s="96">
        <f t="shared" si="0"/>
        <v>612333.50158000004</v>
      </c>
      <c r="G19" s="90">
        <f>G25+G31+G37+G43+G49+G55+G61</f>
        <v>87986.93</v>
      </c>
      <c r="H19" s="90">
        <f>H25+H31+H37+H43+H49+H55+H61+H67</f>
        <v>90644.727579999992</v>
      </c>
      <c r="I19" s="90">
        <f>I25+I31+I37+I43+I49+I55+I61+I67</f>
        <v>98861.21100000001</v>
      </c>
      <c r="J19" s="90">
        <f t="shared" ref="J19" si="3">J25+J31+J37+J43+J49+J55+J61+J67</f>
        <v>107654.383</v>
      </c>
      <c r="K19" s="91">
        <f>K25+K31+K37+K43+K49+K55+K61</f>
        <v>110337.114</v>
      </c>
      <c r="L19" s="91">
        <f t="shared" ref="L19" si="4">L25+L31+L37+L43+L49+L55+L61</f>
        <v>116849.136</v>
      </c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3"/>
      <c r="AS19" s="34"/>
      <c r="AT19" s="34"/>
      <c r="AU19" s="34"/>
      <c r="AV19" s="34"/>
      <c r="AW19" s="34"/>
      <c r="AX19" s="34"/>
      <c r="AY19" s="34"/>
      <c r="AZ19" s="35"/>
      <c r="BA19" s="36"/>
    </row>
    <row r="20" spans="1:53" s="42" customFormat="1" ht="17.25" customHeight="1">
      <c r="A20" s="118"/>
      <c r="B20" s="121"/>
      <c r="C20" s="118"/>
      <c r="D20" s="121"/>
      <c r="E20" s="24" t="s">
        <v>58</v>
      </c>
      <c r="F20" s="96">
        <f t="shared" si="0"/>
        <v>0</v>
      </c>
      <c r="G20" s="90"/>
      <c r="H20" s="90">
        <f>H26+H32+H38+H44+H50+H56+H62</f>
        <v>0</v>
      </c>
      <c r="I20" s="90">
        <f>I26+I32+I38+I44+I50+I56+I62</f>
        <v>0</v>
      </c>
      <c r="J20" s="90">
        <f>J26+J32+J38+J44+J50+J56+J62</f>
        <v>0</v>
      </c>
      <c r="K20" s="92">
        <f>K26+K32+K38+K44+K50+K56+K62</f>
        <v>0</v>
      </c>
      <c r="L20" s="92">
        <f t="shared" ref="L20" si="5">L26+L32+L38+L44+L50+L56+L62</f>
        <v>0</v>
      </c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38"/>
      <c r="AS20" s="39"/>
      <c r="AT20" s="39"/>
      <c r="AU20" s="39"/>
      <c r="AV20" s="39"/>
      <c r="AW20" s="39"/>
      <c r="AX20" s="39"/>
      <c r="AY20" s="39"/>
      <c r="AZ20" s="40"/>
      <c r="BA20" s="41"/>
    </row>
    <row r="21" spans="1:53" s="42" customFormat="1" ht="21.75" customHeight="1">
      <c r="A21" s="119" t="s">
        <v>59</v>
      </c>
      <c r="B21" s="128" t="s">
        <v>110</v>
      </c>
      <c r="C21" s="116" t="s">
        <v>200</v>
      </c>
      <c r="D21" s="119" t="s">
        <v>142</v>
      </c>
      <c r="E21" s="21" t="s">
        <v>47</v>
      </c>
      <c r="F21" s="96">
        <f t="shared" si="0"/>
        <v>1794.34</v>
      </c>
      <c r="G21" s="90">
        <f>G22+G24+G25+G26</f>
        <v>1281.3399999999999</v>
      </c>
      <c r="H21" s="90">
        <f>H22+H24+H25+H26</f>
        <v>200</v>
      </c>
      <c r="I21" s="90">
        <f>I22+I24+I25+I26</f>
        <v>246.00000000000003</v>
      </c>
      <c r="J21" s="90">
        <f>J22+J24+J25+J26</f>
        <v>67</v>
      </c>
      <c r="K21" s="92">
        <f t="shared" ref="K21" si="6">K22+K24+K25+K26</f>
        <v>0</v>
      </c>
      <c r="L21" s="92">
        <f t="shared" ref="L21" si="7">L22+L24+L25+L26</f>
        <v>0</v>
      </c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38"/>
      <c r="AS21" s="39"/>
      <c r="AT21" s="39"/>
      <c r="AU21" s="39"/>
      <c r="AV21" s="39"/>
      <c r="AW21" s="39"/>
      <c r="AX21" s="39"/>
      <c r="AY21" s="39"/>
      <c r="AZ21" s="40"/>
      <c r="BA21" s="41"/>
    </row>
    <row r="22" spans="1:53" s="42" customFormat="1" ht="21.75" customHeight="1">
      <c r="A22" s="120"/>
      <c r="B22" s="129"/>
      <c r="C22" s="117"/>
      <c r="D22" s="120"/>
      <c r="E22" s="21" t="s">
        <v>55</v>
      </c>
      <c r="F22" s="96">
        <f t="shared" si="0"/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38"/>
      <c r="AS22" s="39"/>
      <c r="AT22" s="39"/>
      <c r="AU22" s="39"/>
      <c r="AV22" s="39"/>
      <c r="AW22" s="39"/>
      <c r="AX22" s="39"/>
      <c r="AY22" s="39"/>
      <c r="AZ22" s="40"/>
      <c r="BA22" s="41"/>
    </row>
    <row r="23" spans="1:53" s="42" customFormat="1" ht="28.5" customHeight="1">
      <c r="A23" s="120"/>
      <c r="B23" s="129"/>
      <c r="C23" s="117"/>
      <c r="D23" s="120"/>
      <c r="E23" s="21" t="s">
        <v>166</v>
      </c>
      <c r="F23" s="96">
        <f t="shared" si="0"/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38"/>
      <c r="AS23" s="39"/>
      <c r="AT23" s="39"/>
      <c r="AU23" s="39"/>
      <c r="AV23" s="39"/>
      <c r="AW23" s="39"/>
      <c r="AX23" s="39"/>
      <c r="AY23" s="39"/>
      <c r="AZ23" s="40"/>
      <c r="BA23" s="41"/>
    </row>
    <row r="24" spans="1:53" s="42" customFormat="1" ht="21.75" customHeight="1">
      <c r="A24" s="120"/>
      <c r="B24" s="129"/>
      <c r="C24" s="117"/>
      <c r="D24" s="120"/>
      <c r="E24" s="21" t="s">
        <v>56</v>
      </c>
      <c r="F24" s="96">
        <f t="shared" si="0"/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38"/>
      <c r="AS24" s="39"/>
      <c r="AT24" s="39"/>
      <c r="AU24" s="39"/>
      <c r="AV24" s="39"/>
      <c r="AW24" s="39"/>
      <c r="AX24" s="39"/>
      <c r="AY24" s="39"/>
      <c r="AZ24" s="40"/>
      <c r="BA24" s="41"/>
    </row>
    <row r="25" spans="1:53" s="42" customFormat="1" ht="15" customHeight="1">
      <c r="A25" s="120"/>
      <c r="B25" s="129"/>
      <c r="C25" s="117"/>
      <c r="D25" s="120"/>
      <c r="E25" s="16" t="s">
        <v>57</v>
      </c>
      <c r="F25" s="96">
        <f t="shared" si="0"/>
        <v>1794.34</v>
      </c>
      <c r="G25" s="15">
        <v>1281.3399999999999</v>
      </c>
      <c r="H25" s="14">
        <v>200</v>
      </c>
      <c r="I25" s="23">
        <f>484.75-28.9-209.85</f>
        <v>246.00000000000003</v>
      </c>
      <c r="J25" s="23">
        <v>67</v>
      </c>
      <c r="K25" s="14">
        <v>0</v>
      </c>
      <c r="L25" s="14">
        <v>0</v>
      </c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38"/>
      <c r="AS25" s="39"/>
      <c r="AT25" s="39"/>
      <c r="AU25" s="39"/>
      <c r="AV25" s="39"/>
      <c r="AW25" s="39"/>
      <c r="AX25" s="39"/>
      <c r="AY25" s="39"/>
      <c r="AZ25" s="40"/>
      <c r="BA25" s="41"/>
    </row>
    <row r="26" spans="1:53" s="42" customFormat="1" ht="17.25" customHeight="1">
      <c r="A26" s="121"/>
      <c r="B26" s="130"/>
      <c r="C26" s="118"/>
      <c r="D26" s="121"/>
      <c r="E26" s="24" t="s">
        <v>58</v>
      </c>
      <c r="F26" s="96">
        <f t="shared" si="0"/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38"/>
      <c r="AS26" s="39"/>
      <c r="AT26" s="39"/>
      <c r="AU26" s="39"/>
      <c r="AV26" s="39"/>
      <c r="AW26" s="39"/>
      <c r="AX26" s="39"/>
      <c r="AY26" s="39"/>
      <c r="AZ26" s="40"/>
      <c r="BA26" s="41"/>
    </row>
    <row r="27" spans="1:53" s="42" customFormat="1" ht="21.75" customHeight="1">
      <c r="A27" s="119" t="s">
        <v>60</v>
      </c>
      <c r="B27" s="128" t="s">
        <v>121</v>
      </c>
      <c r="C27" s="116" t="s">
        <v>185</v>
      </c>
      <c r="D27" s="119" t="s">
        <v>143</v>
      </c>
      <c r="E27" s="21" t="s">
        <v>47</v>
      </c>
      <c r="F27" s="96">
        <f t="shared" si="0"/>
        <v>4700.8919999999998</v>
      </c>
      <c r="G27" s="90">
        <f t="shared" ref="G27:I27" si="8">G28+G30+G31+G32</f>
        <v>4313.3779999999997</v>
      </c>
      <c r="H27" s="90">
        <f t="shared" si="8"/>
        <v>171</v>
      </c>
      <c r="I27" s="90">
        <f t="shared" si="8"/>
        <v>86.733999999999995</v>
      </c>
      <c r="J27" s="90">
        <f t="shared" ref="J27:L27" si="9">J28+J30+J31+J32</f>
        <v>129.78</v>
      </c>
      <c r="K27" s="92">
        <f t="shared" si="9"/>
        <v>0</v>
      </c>
      <c r="L27" s="92">
        <f t="shared" si="9"/>
        <v>0</v>
      </c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38"/>
      <c r="AS27" s="39"/>
      <c r="AT27" s="39"/>
      <c r="AU27" s="39"/>
      <c r="AV27" s="39"/>
      <c r="AW27" s="39"/>
      <c r="AX27" s="39"/>
      <c r="AY27" s="39"/>
      <c r="AZ27" s="40"/>
      <c r="BA27" s="41"/>
    </row>
    <row r="28" spans="1:53" s="42" customFormat="1" ht="21.75" customHeight="1">
      <c r="A28" s="120"/>
      <c r="B28" s="129"/>
      <c r="C28" s="117"/>
      <c r="D28" s="120"/>
      <c r="E28" s="21" t="s">
        <v>55</v>
      </c>
      <c r="F28" s="96">
        <f t="shared" si="0"/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38"/>
      <c r="AS28" s="39"/>
      <c r="AT28" s="39"/>
      <c r="AU28" s="39"/>
      <c r="AV28" s="39"/>
      <c r="AW28" s="39"/>
      <c r="AX28" s="39"/>
      <c r="AY28" s="39"/>
      <c r="AZ28" s="40"/>
      <c r="BA28" s="41"/>
    </row>
    <row r="29" spans="1:53" s="42" customFormat="1" ht="27.75" customHeight="1">
      <c r="A29" s="120"/>
      <c r="B29" s="129"/>
      <c r="C29" s="117"/>
      <c r="D29" s="120"/>
      <c r="E29" s="21" t="s">
        <v>166</v>
      </c>
      <c r="F29" s="96">
        <f t="shared" si="0"/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38"/>
      <c r="AS29" s="39"/>
      <c r="AT29" s="39"/>
      <c r="AU29" s="39"/>
      <c r="AV29" s="39"/>
      <c r="AW29" s="39"/>
      <c r="AX29" s="39"/>
      <c r="AY29" s="39"/>
      <c r="AZ29" s="40"/>
      <c r="BA29" s="41"/>
    </row>
    <row r="30" spans="1:53" s="42" customFormat="1" ht="21.75" customHeight="1">
      <c r="A30" s="120"/>
      <c r="B30" s="129"/>
      <c r="C30" s="117"/>
      <c r="D30" s="120"/>
      <c r="E30" s="21" t="s">
        <v>56</v>
      </c>
      <c r="F30" s="96">
        <f t="shared" si="0"/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38"/>
      <c r="AS30" s="39"/>
      <c r="AT30" s="39"/>
      <c r="AU30" s="39"/>
      <c r="AV30" s="39"/>
      <c r="AW30" s="39"/>
      <c r="AX30" s="39"/>
      <c r="AY30" s="39"/>
      <c r="AZ30" s="40"/>
      <c r="BA30" s="41"/>
    </row>
    <row r="31" spans="1:53" s="42" customFormat="1" ht="21.75" customHeight="1">
      <c r="A31" s="120"/>
      <c r="B31" s="129"/>
      <c r="C31" s="117"/>
      <c r="D31" s="120"/>
      <c r="E31" s="16" t="s">
        <v>57</v>
      </c>
      <c r="F31" s="96">
        <f t="shared" si="0"/>
        <v>4700.8919999999998</v>
      </c>
      <c r="G31" s="15">
        <v>4313.3779999999997</v>
      </c>
      <c r="H31" s="14">
        <v>171</v>
      </c>
      <c r="I31" s="14">
        <v>86.733999999999995</v>
      </c>
      <c r="J31" s="14">
        <v>129.78</v>
      </c>
      <c r="K31" s="14">
        <v>0</v>
      </c>
      <c r="L31" s="14">
        <v>0</v>
      </c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38"/>
      <c r="AS31" s="39"/>
      <c r="AT31" s="39"/>
      <c r="AU31" s="39"/>
      <c r="AV31" s="39"/>
      <c r="AW31" s="39"/>
      <c r="AX31" s="39"/>
      <c r="AY31" s="39"/>
      <c r="AZ31" s="40"/>
      <c r="BA31" s="41"/>
    </row>
    <row r="32" spans="1:53" s="42" customFormat="1" ht="21.75" customHeight="1">
      <c r="A32" s="121"/>
      <c r="B32" s="130"/>
      <c r="C32" s="118"/>
      <c r="D32" s="121"/>
      <c r="E32" s="24" t="s">
        <v>58</v>
      </c>
      <c r="F32" s="96">
        <f t="shared" si="0"/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38"/>
      <c r="AS32" s="39"/>
      <c r="AT32" s="39"/>
      <c r="AU32" s="39"/>
      <c r="AV32" s="39"/>
      <c r="AW32" s="39"/>
      <c r="AX32" s="39"/>
      <c r="AY32" s="39"/>
      <c r="AZ32" s="40"/>
      <c r="BA32" s="41"/>
    </row>
    <row r="33" spans="1:53" s="37" customFormat="1" ht="21.75" customHeight="1">
      <c r="A33" s="119" t="s">
        <v>61</v>
      </c>
      <c r="B33" s="128" t="s">
        <v>120</v>
      </c>
      <c r="C33" s="116" t="s">
        <v>180</v>
      </c>
      <c r="D33" s="119" t="s">
        <v>144</v>
      </c>
      <c r="E33" s="21" t="s">
        <v>47</v>
      </c>
      <c r="F33" s="96">
        <f t="shared" si="0"/>
        <v>29210.212</v>
      </c>
      <c r="G33" s="90">
        <f t="shared" ref="G33:I33" si="10">G34+G36+G37+G38</f>
        <v>3701.5279999999998</v>
      </c>
      <c r="H33" s="90">
        <f t="shared" si="10"/>
        <v>4437.5780000000004</v>
      </c>
      <c r="I33" s="90">
        <f t="shared" si="10"/>
        <v>4879.5810000000001</v>
      </c>
      <c r="J33" s="90">
        <f t="shared" ref="J33:L33" si="11">J34+J36+J37+J38</f>
        <v>5241.7219999999998</v>
      </c>
      <c r="K33" s="91">
        <f t="shared" si="11"/>
        <v>5310.9170000000004</v>
      </c>
      <c r="L33" s="91">
        <f t="shared" si="11"/>
        <v>5638.8860000000004</v>
      </c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3"/>
      <c r="AS33" s="34"/>
      <c r="AT33" s="34"/>
      <c r="AU33" s="34"/>
      <c r="AV33" s="34"/>
      <c r="AW33" s="34"/>
      <c r="AX33" s="34"/>
      <c r="AY33" s="34"/>
      <c r="AZ33" s="35"/>
      <c r="BA33" s="36"/>
    </row>
    <row r="34" spans="1:53" s="37" customFormat="1" ht="21.75" customHeight="1">
      <c r="A34" s="120"/>
      <c r="B34" s="129"/>
      <c r="C34" s="117"/>
      <c r="D34" s="120"/>
      <c r="E34" s="21" t="s">
        <v>55</v>
      </c>
      <c r="F34" s="96">
        <f t="shared" si="0"/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3"/>
      <c r="AS34" s="34"/>
      <c r="AT34" s="34"/>
      <c r="AU34" s="34"/>
      <c r="AV34" s="34"/>
      <c r="AW34" s="34"/>
      <c r="AX34" s="34"/>
      <c r="AY34" s="34"/>
      <c r="AZ34" s="35"/>
      <c r="BA34" s="36"/>
    </row>
    <row r="35" spans="1:53" s="37" customFormat="1" ht="28.5" customHeight="1">
      <c r="A35" s="120"/>
      <c r="B35" s="129"/>
      <c r="C35" s="117"/>
      <c r="D35" s="120"/>
      <c r="E35" s="21" t="s">
        <v>166</v>
      </c>
      <c r="F35" s="96">
        <f t="shared" si="0"/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3"/>
      <c r="AS35" s="34"/>
      <c r="AT35" s="34"/>
      <c r="AU35" s="34"/>
      <c r="AV35" s="34"/>
      <c r="AW35" s="34"/>
      <c r="AX35" s="34"/>
      <c r="AY35" s="34"/>
      <c r="AZ35" s="35"/>
      <c r="BA35" s="36"/>
    </row>
    <row r="36" spans="1:53" s="37" customFormat="1" ht="21.75" customHeight="1">
      <c r="A36" s="120"/>
      <c r="B36" s="129"/>
      <c r="C36" s="117"/>
      <c r="D36" s="120"/>
      <c r="E36" s="21" t="s">
        <v>56</v>
      </c>
      <c r="F36" s="96">
        <f t="shared" si="0"/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3"/>
      <c r="AS36" s="34"/>
      <c r="AT36" s="34"/>
      <c r="AU36" s="34"/>
      <c r="AV36" s="34"/>
      <c r="AW36" s="34"/>
      <c r="AX36" s="34"/>
      <c r="AY36" s="34"/>
      <c r="AZ36" s="35"/>
      <c r="BA36" s="36"/>
    </row>
    <row r="37" spans="1:53" s="37" customFormat="1" ht="21.75" customHeight="1">
      <c r="A37" s="120"/>
      <c r="B37" s="129"/>
      <c r="C37" s="117"/>
      <c r="D37" s="120"/>
      <c r="E37" s="16" t="s">
        <v>57</v>
      </c>
      <c r="F37" s="96">
        <f t="shared" si="0"/>
        <v>29210.212</v>
      </c>
      <c r="G37" s="15">
        <f>3701.528</f>
        <v>3701.5279999999998</v>
      </c>
      <c r="H37" s="14">
        <v>4437.5780000000004</v>
      </c>
      <c r="I37" s="14">
        <v>4879.5810000000001</v>
      </c>
      <c r="J37" s="14">
        <f>5237.186+4.536</f>
        <v>5241.7219999999998</v>
      </c>
      <c r="K37" s="14">
        <v>5310.9170000000004</v>
      </c>
      <c r="L37" s="15">
        <v>5638.8860000000004</v>
      </c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3"/>
      <c r="AS37" s="34"/>
      <c r="AT37" s="34"/>
      <c r="AU37" s="34"/>
      <c r="AV37" s="34"/>
      <c r="AW37" s="34"/>
      <c r="AX37" s="34"/>
      <c r="AY37" s="34"/>
      <c r="AZ37" s="35"/>
      <c r="BA37" s="36"/>
    </row>
    <row r="38" spans="1:53" s="42" customFormat="1" ht="21.75" customHeight="1">
      <c r="A38" s="121"/>
      <c r="B38" s="130"/>
      <c r="C38" s="118"/>
      <c r="D38" s="121"/>
      <c r="E38" s="24" t="s">
        <v>58</v>
      </c>
      <c r="F38" s="96">
        <f t="shared" si="0"/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38"/>
      <c r="AS38" s="39"/>
      <c r="AT38" s="39"/>
      <c r="AU38" s="39"/>
      <c r="AV38" s="39"/>
      <c r="AW38" s="39"/>
      <c r="AX38" s="39"/>
      <c r="AY38" s="39"/>
      <c r="AZ38" s="40"/>
      <c r="BA38" s="41"/>
    </row>
    <row r="39" spans="1:53" s="37" customFormat="1" ht="21.75" customHeight="1">
      <c r="A39" s="119" t="s">
        <v>62</v>
      </c>
      <c r="B39" s="128" t="s">
        <v>111</v>
      </c>
      <c r="C39" s="116" t="s">
        <v>181</v>
      </c>
      <c r="D39" s="119" t="s">
        <v>145</v>
      </c>
      <c r="E39" s="21" t="s">
        <v>47</v>
      </c>
      <c r="F39" s="96">
        <f t="shared" si="0"/>
        <v>411318.89199999999</v>
      </c>
      <c r="G39" s="90">
        <f t="shared" ref="G39:I39" si="12">G40+G42+G43+G44</f>
        <v>55698.098999999995</v>
      </c>
      <c r="H39" s="90">
        <f t="shared" si="12"/>
        <v>61304.565999999999</v>
      </c>
      <c r="I39" s="90">
        <f t="shared" si="12"/>
        <v>66711.611000000004</v>
      </c>
      <c r="J39" s="90">
        <f t="shared" ref="J39:L39" si="13">J40+J42+J43+J44</f>
        <v>72583.758000000002</v>
      </c>
      <c r="K39" s="91">
        <f t="shared" si="13"/>
        <v>75277.357999999993</v>
      </c>
      <c r="L39" s="91">
        <f t="shared" si="13"/>
        <v>79743.5</v>
      </c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3"/>
      <c r="AS39" s="34"/>
      <c r="AT39" s="34"/>
      <c r="AU39" s="34"/>
      <c r="AV39" s="34"/>
      <c r="AW39" s="34"/>
      <c r="AX39" s="34"/>
      <c r="AY39" s="34"/>
      <c r="AZ39" s="35"/>
      <c r="BA39" s="36"/>
    </row>
    <row r="40" spans="1:53" s="37" customFormat="1" ht="21.75" customHeight="1">
      <c r="A40" s="120"/>
      <c r="B40" s="129"/>
      <c r="C40" s="117"/>
      <c r="D40" s="120"/>
      <c r="E40" s="21" t="s">
        <v>55</v>
      </c>
      <c r="F40" s="96">
        <f t="shared" si="0"/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3"/>
      <c r="AS40" s="34"/>
      <c r="AT40" s="34"/>
      <c r="AU40" s="34"/>
      <c r="AV40" s="34"/>
      <c r="AW40" s="34"/>
      <c r="AX40" s="34"/>
      <c r="AY40" s="34"/>
      <c r="AZ40" s="35"/>
      <c r="BA40" s="36"/>
    </row>
    <row r="41" spans="1:53" s="37" customFormat="1" ht="27" customHeight="1">
      <c r="A41" s="120"/>
      <c r="B41" s="129"/>
      <c r="C41" s="117"/>
      <c r="D41" s="120"/>
      <c r="E41" s="21" t="s">
        <v>166</v>
      </c>
      <c r="F41" s="96">
        <f t="shared" si="0"/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3"/>
      <c r="AS41" s="34"/>
      <c r="AT41" s="34"/>
      <c r="AU41" s="34"/>
      <c r="AV41" s="34"/>
      <c r="AW41" s="34"/>
      <c r="AX41" s="34"/>
      <c r="AY41" s="34"/>
      <c r="AZ41" s="35"/>
      <c r="BA41" s="36"/>
    </row>
    <row r="42" spans="1:53" s="37" customFormat="1" ht="21.75" customHeight="1">
      <c r="A42" s="120"/>
      <c r="B42" s="129"/>
      <c r="C42" s="117"/>
      <c r="D42" s="120"/>
      <c r="E42" s="21" t="s">
        <v>56</v>
      </c>
      <c r="F42" s="96">
        <f t="shared" si="0"/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3"/>
      <c r="AS42" s="34"/>
      <c r="AT42" s="34"/>
      <c r="AU42" s="34"/>
      <c r="AV42" s="34"/>
      <c r="AW42" s="34"/>
      <c r="AX42" s="34"/>
      <c r="AY42" s="34"/>
      <c r="AZ42" s="35"/>
      <c r="BA42" s="36"/>
    </row>
    <row r="43" spans="1:53" s="37" customFormat="1" ht="21.75" customHeight="1">
      <c r="A43" s="120"/>
      <c r="B43" s="129"/>
      <c r="C43" s="117"/>
      <c r="D43" s="120"/>
      <c r="E43" s="21" t="s">
        <v>57</v>
      </c>
      <c r="F43" s="96">
        <f t="shared" si="0"/>
        <v>411318.89199999999</v>
      </c>
      <c r="G43" s="15">
        <f>56846.026-998.815-149.112</f>
        <v>55698.098999999995</v>
      </c>
      <c r="H43" s="15">
        <f>61304.566</f>
        <v>61304.565999999999</v>
      </c>
      <c r="I43" s="15">
        <v>66711.611000000004</v>
      </c>
      <c r="J43" s="15">
        <f>72538.398+45.36</f>
        <v>72583.758000000002</v>
      </c>
      <c r="K43" s="15">
        <v>75277.357999999993</v>
      </c>
      <c r="L43" s="15">
        <v>79743.5</v>
      </c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3"/>
      <c r="AS43" s="34"/>
      <c r="AT43" s="34"/>
      <c r="AU43" s="34"/>
      <c r="AV43" s="34"/>
      <c r="AW43" s="34"/>
      <c r="AX43" s="34"/>
      <c r="AY43" s="34"/>
      <c r="AZ43" s="35"/>
      <c r="BA43" s="36"/>
    </row>
    <row r="44" spans="1:53" s="48" customFormat="1" ht="21.75" customHeight="1">
      <c r="A44" s="121"/>
      <c r="B44" s="130"/>
      <c r="C44" s="118"/>
      <c r="D44" s="121"/>
      <c r="E44" s="21" t="s">
        <v>58</v>
      </c>
      <c r="F44" s="96">
        <f t="shared" si="0"/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4"/>
      <c r="AS44" s="45"/>
      <c r="AT44" s="45"/>
      <c r="AU44" s="45"/>
      <c r="AV44" s="45"/>
      <c r="AW44" s="45"/>
      <c r="AX44" s="45"/>
      <c r="AY44" s="45"/>
      <c r="AZ44" s="46"/>
      <c r="BA44" s="47"/>
    </row>
    <row r="45" spans="1:53" s="37" customFormat="1" ht="21.75" customHeight="1">
      <c r="A45" s="119" t="s">
        <v>74</v>
      </c>
      <c r="B45" s="128" t="s">
        <v>112</v>
      </c>
      <c r="C45" s="116" t="s">
        <v>182</v>
      </c>
      <c r="D45" s="119" t="s">
        <v>146</v>
      </c>
      <c r="E45" s="21" t="s">
        <v>47</v>
      </c>
      <c r="F45" s="96">
        <f t="shared" si="0"/>
        <v>100019.299</v>
      </c>
      <c r="G45" s="90">
        <f t="shared" ref="G45:I45" si="14">G46+G48+G49+G50</f>
        <v>14031.442999999999</v>
      </c>
      <c r="H45" s="90">
        <f t="shared" si="14"/>
        <v>14843.402</v>
      </c>
      <c r="I45" s="90">
        <f t="shared" si="14"/>
        <v>16185.050999999999</v>
      </c>
      <c r="J45" s="90">
        <f t="shared" ref="J45:L45" si="15">J46+J48+J49+J50</f>
        <v>17594.851999999999</v>
      </c>
      <c r="K45" s="91">
        <f t="shared" si="15"/>
        <v>18152.827000000001</v>
      </c>
      <c r="L45" s="91">
        <f t="shared" si="15"/>
        <v>19211.723999999998</v>
      </c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3"/>
      <c r="AS45" s="34"/>
      <c r="AT45" s="34"/>
      <c r="AU45" s="34"/>
      <c r="AV45" s="34"/>
      <c r="AW45" s="34"/>
      <c r="AX45" s="34"/>
      <c r="AY45" s="34"/>
      <c r="AZ45" s="35"/>
      <c r="BA45" s="36"/>
    </row>
    <row r="46" spans="1:53" s="37" customFormat="1" ht="21.75" customHeight="1">
      <c r="A46" s="120"/>
      <c r="B46" s="129"/>
      <c r="C46" s="117"/>
      <c r="D46" s="120"/>
      <c r="E46" s="21" t="s">
        <v>55</v>
      </c>
      <c r="F46" s="96">
        <f t="shared" si="0"/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  <c r="AR46" s="33"/>
      <c r="AS46" s="34"/>
      <c r="AT46" s="34"/>
      <c r="AU46" s="34"/>
      <c r="AV46" s="34"/>
      <c r="AW46" s="34"/>
      <c r="AX46" s="34"/>
      <c r="AY46" s="34"/>
      <c r="AZ46" s="35"/>
      <c r="BA46" s="36"/>
    </row>
    <row r="47" spans="1:53" s="37" customFormat="1" ht="28.5" customHeight="1">
      <c r="A47" s="120"/>
      <c r="B47" s="129"/>
      <c r="C47" s="117"/>
      <c r="D47" s="120"/>
      <c r="E47" s="21" t="s">
        <v>166</v>
      </c>
      <c r="F47" s="96">
        <f t="shared" ref="F47:F78" si="16">G47+H47+I47+J47+K47+L47</f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3"/>
      <c r="AS47" s="34"/>
      <c r="AT47" s="34"/>
      <c r="AU47" s="34"/>
      <c r="AV47" s="34"/>
      <c r="AW47" s="34"/>
      <c r="AX47" s="34"/>
      <c r="AY47" s="34"/>
      <c r="AZ47" s="35"/>
      <c r="BA47" s="36"/>
    </row>
    <row r="48" spans="1:53" s="37" customFormat="1" ht="21.75" customHeight="1">
      <c r="A48" s="120"/>
      <c r="B48" s="129"/>
      <c r="C48" s="117"/>
      <c r="D48" s="120"/>
      <c r="E48" s="21" t="s">
        <v>56</v>
      </c>
      <c r="F48" s="96">
        <f t="shared" si="16"/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3"/>
      <c r="AS48" s="34"/>
      <c r="AT48" s="34"/>
      <c r="AU48" s="34"/>
      <c r="AV48" s="34"/>
      <c r="AW48" s="34"/>
      <c r="AX48" s="34"/>
      <c r="AY48" s="34"/>
      <c r="AZ48" s="35"/>
      <c r="BA48" s="36"/>
    </row>
    <row r="49" spans="1:53" s="37" customFormat="1" ht="21.75" customHeight="1">
      <c r="A49" s="120"/>
      <c r="B49" s="129"/>
      <c r="C49" s="117"/>
      <c r="D49" s="120"/>
      <c r="E49" s="21" t="s">
        <v>57</v>
      </c>
      <c r="F49" s="96">
        <f t="shared" si="16"/>
        <v>100019.299</v>
      </c>
      <c r="G49" s="15">
        <v>14031.442999999999</v>
      </c>
      <c r="H49" s="14">
        <v>14843.402</v>
      </c>
      <c r="I49" s="14">
        <v>16185.050999999999</v>
      </c>
      <c r="J49" s="15">
        <f>17581.244+13.608</f>
        <v>17594.851999999999</v>
      </c>
      <c r="K49" s="15">
        <v>18152.827000000001</v>
      </c>
      <c r="L49" s="15">
        <v>19211.723999999998</v>
      </c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3"/>
      <c r="AS49" s="34"/>
      <c r="AT49" s="34"/>
      <c r="AU49" s="34"/>
      <c r="AV49" s="34"/>
      <c r="AW49" s="34"/>
      <c r="AX49" s="34"/>
      <c r="AY49" s="34"/>
      <c r="AZ49" s="35"/>
      <c r="BA49" s="36"/>
    </row>
    <row r="50" spans="1:53" s="48" customFormat="1" ht="21.75" customHeight="1">
      <c r="A50" s="121"/>
      <c r="B50" s="130"/>
      <c r="C50" s="118"/>
      <c r="D50" s="121"/>
      <c r="E50" s="21" t="s">
        <v>58</v>
      </c>
      <c r="F50" s="96">
        <f t="shared" si="16"/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4"/>
      <c r="AS50" s="45"/>
      <c r="AT50" s="45"/>
      <c r="AU50" s="45"/>
      <c r="AV50" s="45"/>
      <c r="AW50" s="45"/>
      <c r="AX50" s="45"/>
      <c r="AY50" s="45"/>
      <c r="AZ50" s="46"/>
      <c r="BA50" s="47"/>
    </row>
    <row r="51" spans="1:53" s="37" customFormat="1" ht="21.75" customHeight="1">
      <c r="A51" s="119" t="s">
        <v>97</v>
      </c>
      <c r="B51" s="128" t="s">
        <v>113</v>
      </c>
      <c r="C51" s="116" t="s">
        <v>183</v>
      </c>
      <c r="D51" s="119" t="s">
        <v>147</v>
      </c>
      <c r="E51" s="21" t="s">
        <v>47</v>
      </c>
      <c r="F51" s="96">
        <f t="shared" si="16"/>
        <v>65288.915000000001</v>
      </c>
      <c r="G51" s="90">
        <f t="shared" ref="G51:I51" si="17">G52+G54+G55+G56</f>
        <v>8961.1419999999998</v>
      </c>
      <c r="H51" s="90">
        <f t="shared" si="17"/>
        <v>9687.23</v>
      </c>
      <c r="I51" s="90">
        <f t="shared" si="17"/>
        <v>10752.234</v>
      </c>
      <c r="J51" s="90">
        <f t="shared" ref="J51:K51" si="18">J52+J54+J55+J56</f>
        <v>12037.271000000001</v>
      </c>
      <c r="K51" s="91">
        <f t="shared" si="18"/>
        <v>11596.012000000001</v>
      </c>
      <c r="L51" s="91">
        <f>L52+L53+L54+L55</f>
        <v>12255.026</v>
      </c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3"/>
      <c r="AS51" s="34"/>
      <c r="AT51" s="34"/>
      <c r="AU51" s="34"/>
      <c r="AV51" s="34"/>
      <c r="AW51" s="34"/>
      <c r="AX51" s="34"/>
      <c r="AY51" s="34"/>
      <c r="AZ51" s="35"/>
      <c r="BA51" s="36"/>
    </row>
    <row r="52" spans="1:53" s="37" customFormat="1" ht="21.75" customHeight="1">
      <c r="A52" s="120"/>
      <c r="B52" s="129"/>
      <c r="C52" s="117"/>
      <c r="D52" s="120"/>
      <c r="E52" s="21" t="s">
        <v>55</v>
      </c>
      <c r="F52" s="96">
        <f t="shared" si="16"/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3"/>
      <c r="AS52" s="34"/>
      <c r="AT52" s="34"/>
      <c r="AU52" s="34"/>
      <c r="AV52" s="34"/>
      <c r="AW52" s="34"/>
      <c r="AX52" s="34"/>
      <c r="AY52" s="34"/>
      <c r="AZ52" s="35"/>
      <c r="BA52" s="36"/>
    </row>
    <row r="53" spans="1:53" s="37" customFormat="1" ht="28.5" customHeight="1">
      <c r="A53" s="120"/>
      <c r="B53" s="129"/>
      <c r="C53" s="117"/>
      <c r="D53" s="120"/>
      <c r="E53" s="21" t="s">
        <v>166</v>
      </c>
      <c r="F53" s="96">
        <f t="shared" si="16"/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3"/>
      <c r="AS53" s="34"/>
      <c r="AT53" s="34"/>
      <c r="AU53" s="34"/>
      <c r="AV53" s="34"/>
      <c r="AW53" s="34"/>
      <c r="AX53" s="34"/>
      <c r="AY53" s="34"/>
      <c r="AZ53" s="35"/>
      <c r="BA53" s="36"/>
    </row>
    <row r="54" spans="1:53" s="37" customFormat="1" ht="21.75" customHeight="1">
      <c r="A54" s="120"/>
      <c r="B54" s="129"/>
      <c r="C54" s="117"/>
      <c r="D54" s="120"/>
      <c r="E54" s="21" t="s">
        <v>56</v>
      </c>
      <c r="F54" s="96">
        <f t="shared" si="16"/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3"/>
      <c r="AS54" s="34"/>
      <c r="AT54" s="34"/>
      <c r="AU54" s="34"/>
      <c r="AV54" s="34"/>
      <c r="AW54" s="34"/>
      <c r="AX54" s="34"/>
      <c r="AY54" s="34"/>
      <c r="AZ54" s="35"/>
      <c r="BA54" s="36"/>
    </row>
    <row r="55" spans="1:53" s="37" customFormat="1" ht="21.75" customHeight="1">
      <c r="A55" s="120"/>
      <c r="B55" s="129"/>
      <c r="C55" s="117"/>
      <c r="D55" s="120"/>
      <c r="E55" s="21" t="s">
        <v>57</v>
      </c>
      <c r="F55" s="96">
        <f t="shared" si="16"/>
        <v>65288.915000000001</v>
      </c>
      <c r="G55" s="15">
        <v>8961.1419999999998</v>
      </c>
      <c r="H55" s="15">
        <v>9687.23</v>
      </c>
      <c r="I55" s="15">
        <f>10752.234</f>
        <v>10752.234</v>
      </c>
      <c r="J55" s="15">
        <v>12037.271000000001</v>
      </c>
      <c r="K55" s="15">
        <v>11596.012000000001</v>
      </c>
      <c r="L55" s="68">
        <v>12255.026</v>
      </c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3"/>
      <c r="AS55" s="34"/>
      <c r="AT55" s="34"/>
      <c r="AU55" s="34"/>
      <c r="AV55" s="34"/>
      <c r="AW55" s="34"/>
      <c r="AX55" s="34"/>
      <c r="AY55" s="34"/>
      <c r="AZ55" s="35"/>
      <c r="BA55" s="36"/>
    </row>
    <row r="56" spans="1:53" s="48" customFormat="1" ht="21.75" customHeight="1">
      <c r="A56" s="121"/>
      <c r="B56" s="130"/>
      <c r="C56" s="118"/>
      <c r="D56" s="121"/>
      <c r="E56" s="21" t="s">
        <v>58</v>
      </c>
      <c r="F56" s="96">
        <f t="shared" si="16"/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4"/>
      <c r="AS56" s="45"/>
      <c r="AT56" s="45"/>
      <c r="AU56" s="45"/>
      <c r="AV56" s="45"/>
      <c r="AW56" s="45"/>
      <c r="AX56" s="45"/>
      <c r="AY56" s="45"/>
      <c r="AZ56" s="46"/>
      <c r="BA56" s="47"/>
    </row>
    <row r="57" spans="1:53" s="37" customFormat="1" ht="21.75" customHeight="1">
      <c r="A57" s="119" t="s">
        <v>101</v>
      </c>
      <c r="B57" s="128" t="s">
        <v>89</v>
      </c>
      <c r="C57" s="116" t="s">
        <v>183</v>
      </c>
      <c r="D57" s="119" t="s">
        <v>146</v>
      </c>
      <c r="E57" s="21" t="s">
        <v>47</v>
      </c>
      <c r="F57" s="96">
        <f t="shared" si="16"/>
        <v>658.625</v>
      </c>
      <c r="G57" s="90">
        <f t="shared" ref="G57:I57" si="19">G58+G60+G61+G62</f>
        <v>116.25</v>
      </c>
      <c r="H57" s="90">
        <f t="shared" si="19"/>
        <v>111.97499999999999</v>
      </c>
      <c r="I57" s="90">
        <f t="shared" si="19"/>
        <v>106.4</v>
      </c>
      <c r="J57" s="90">
        <f t="shared" ref="J57:L57" si="20">J58+J60+J61+J62</f>
        <v>108</v>
      </c>
      <c r="K57" s="91">
        <f t="shared" si="20"/>
        <v>108</v>
      </c>
      <c r="L57" s="91">
        <f t="shared" si="20"/>
        <v>108</v>
      </c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3"/>
      <c r="AS57" s="34"/>
      <c r="AT57" s="34"/>
      <c r="AU57" s="34"/>
      <c r="AV57" s="34"/>
      <c r="AW57" s="34"/>
      <c r="AX57" s="34"/>
      <c r="AY57" s="34"/>
      <c r="AZ57" s="35"/>
      <c r="BA57" s="36"/>
    </row>
    <row r="58" spans="1:53" s="37" customFormat="1" ht="21.75" customHeight="1">
      <c r="A58" s="120"/>
      <c r="B58" s="129"/>
      <c r="C58" s="117"/>
      <c r="D58" s="120"/>
      <c r="E58" s="21" t="s">
        <v>55</v>
      </c>
      <c r="F58" s="96">
        <f t="shared" si="16"/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3"/>
      <c r="AS58" s="34"/>
      <c r="AT58" s="34"/>
      <c r="AU58" s="34"/>
      <c r="AV58" s="34"/>
      <c r="AW58" s="34"/>
      <c r="AX58" s="34"/>
      <c r="AY58" s="34"/>
      <c r="AZ58" s="35"/>
      <c r="BA58" s="36"/>
    </row>
    <row r="59" spans="1:53" s="37" customFormat="1" ht="28.5" customHeight="1">
      <c r="A59" s="120"/>
      <c r="B59" s="129"/>
      <c r="C59" s="117"/>
      <c r="D59" s="120"/>
      <c r="E59" s="21" t="s">
        <v>166</v>
      </c>
      <c r="F59" s="96">
        <f t="shared" si="16"/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  <c r="AR59" s="33"/>
      <c r="AS59" s="34"/>
      <c r="AT59" s="34"/>
      <c r="AU59" s="34"/>
      <c r="AV59" s="34"/>
      <c r="AW59" s="34"/>
      <c r="AX59" s="34"/>
      <c r="AY59" s="34"/>
      <c r="AZ59" s="35"/>
      <c r="BA59" s="36"/>
    </row>
    <row r="60" spans="1:53" s="37" customFormat="1" ht="21.75" customHeight="1">
      <c r="A60" s="120"/>
      <c r="B60" s="129"/>
      <c r="C60" s="117"/>
      <c r="D60" s="120"/>
      <c r="E60" s="21" t="s">
        <v>56</v>
      </c>
      <c r="F60" s="96">
        <f t="shared" si="16"/>
        <v>658.625</v>
      </c>
      <c r="G60" s="15">
        <v>116.25</v>
      </c>
      <c r="H60" s="67">
        <f>111.975</f>
        <v>111.97499999999999</v>
      </c>
      <c r="I60" s="14">
        <v>106.4</v>
      </c>
      <c r="J60" s="14">
        <v>108</v>
      </c>
      <c r="K60" s="14">
        <v>108</v>
      </c>
      <c r="L60" s="14">
        <v>108</v>
      </c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3"/>
      <c r="AS60" s="34"/>
      <c r="AT60" s="34"/>
      <c r="AU60" s="34"/>
      <c r="AV60" s="34"/>
      <c r="AW60" s="34"/>
      <c r="AX60" s="34"/>
      <c r="AY60" s="34"/>
      <c r="AZ60" s="35"/>
      <c r="BA60" s="36"/>
    </row>
    <row r="61" spans="1:53" s="37" customFormat="1" ht="21.75" customHeight="1">
      <c r="A61" s="120"/>
      <c r="B61" s="129"/>
      <c r="C61" s="117"/>
      <c r="D61" s="120"/>
      <c r="E61" s="21" t="s">
        <v>57</v>
      </c>
      <c r="F61" s="96">
        <f t="shared" si="16"/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3"/>
      <c r="AS61" s="34"/>
      <c r="AT61" s="34"/>
      <c r="AU61" s="34"/>
      <c r="AV61" s="34"/>
      <c r="AW61" s="34"/>
      <c r="AX61" s="34"/>
      <c r="AY61" s="34"/>
      <c r="AZ61" s="35"/>
      <c r="BA61" s="36"/>
    </row>
    <row r="62" spans="1:53" s="48" customFormat="1" ht="21.75" customHeight="1">
      <c r="A62" s="121"/>
      <c r="B62" s="130"/>
      <c r="C62" s="118"/>
      <c r="D62" s="121"/>
      <c r="E62" s="21" t="s">
        <v>58</v>
      </c>
      <c r="F62" s="96">
        <f t="shared" si="16"/>
        <v>0</v>
      </c>
      <c r="G62" s="20">
        <v>0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4"/>
      <c r="AS62" s="45"/>
      <c r="AT62" s="45"/>
      <c r="AU62" s="45"/>
      <c r="AV62" s="45"/>
      <c r="AW62" s="45"/>
      <c r="AX62" s="45"/>
      <c r="AY62" s="45"/>
      <c r="AZ62" s="46"/>
      <c r="BA62" s="47"/>
    </row>
    <row r="63" spans="1:53" s="37" customFormat="1" ht="21.75" customHeight="1">
      <c r="A63" s="119" t="s">
        <v>128</v>
      </c>
      <c r="B63" s="128" t="s">
        <v>130</v>
      </c>
      <c r="C63" s="110">
        <v>2023</v>
      </c>
      <c r="D63" s="122" t="s">
        <v>86</v>
      </c>
      <c r="E63" s="21" t="s">
        <v>47</v>
      </c>
      <c r="F63" s="96">
        <f t="shared" si="16"/>
        <v>951.58316000000002</v>
      </c>
      <c r="G63" s="90">
        <f t="shared" ref="G63:L63" si="21">G64+G66+G67+G68</f>
        <v>0</v>
      </c>
      <c r="H63" s="90">
        <f t="shared" si="21"/>
        <v>951.58316000000002</v>
      </c>
      <c r="I63" s="90">
        <f t="shared" si="21"/>
        <v>0</v>
      </c>
      <c r="J63" s="90">
        <f t="shared" si="21"/>
        <v>0</v>
      </c>
      <c r="K63" s="90">
        <f t="shared" si="21"/>
        <v>0</v>
      </c>
      <c r="L63" s="90">
        <f t="shared" si="21"/>
        <v>0</v>
      </c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3"/>
      <c r="AS63" s="34"/>
      <c r="AT63" s="34"/>
      <c r="AU63" s="34"/>
      <c r="AV63" s="34"/>
      <c r="AW63" s="34"/>
      <c r="AX63" s="34"/>
      <c r="AY63" s="34"/>
      <c r="AZ63" s="35"/>
      <c r="BA63" s="36"/>
    </row>
    <row r="64" spans="1:53" s="37" customFormat="1" ht="21.75" customHeight="1">
      <c r="A64" s="120"/>
      <c r="B64" s="129"/>
      <c r="C64" s="127"/>
      <c r="D64" s="123"/>
      <c r="E64" s="21" t="s">
        <v>55</v>
      </c>
      <c r="F64" s="96">
        <f t="shared" si="16"/>
        <v>903.1</v>
      </c>
      <c r="G64" s="14">
        <v>0</v>
      </c>
      <c r="H64" s="66">
        <v>903.1</v>
      </c>
      <c r="I64" s="66"/>
      <c r="J64" s="14">
        <v>0</v>
      </c>
      <c r="K64" s="14">
        <v>0</v>
      </c>
      <c r="L64" s="14">
        <v>0</v>
      </c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33"/>
      <c r="AS64" s="34"/>
      <c r="AT64" s="34"/>
      <c r="AU64" s="34"/>
      <c r="AV64" s="34"/>
      <c r="AW64" s="34"/>
      <c r="AX64" s="34"/>
      <c r="AY64" s="34"/>
      <c r="AZ64" s="35"/>
      <c r="BA64" s="36"/>
    </row>
    <row r="65" spans="1:53" s="37" customFormat="1" ht="29.25" customHeight="1">
      <c r="A65" s="120"/>
      <c r="B65" s="129"/>
      <c r="C65" s="127"/>
      <c r="D65" s="123"/>
      <c r="E65" s="21" t="s">
        <v>166</v>
      </c>
      <c r="F65" s="96">
        <f t="shared" si="16"/>
        <v>0</v>
      </c>
      <c r="G65" s="14">
        <v>0</v>
      </c>
      <c r="H65" s="14">
        <v>0</v>
      </c>
      <c r="I65" s="14"/>
      <c r="J65" s="14">
        <v>0</v>
      </c>
      <c r="K65" s="14">
        <v>0</v>
      </c>
      <c r="L65" s="14">
        <v>0</v>
      </c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  <c r="AQ65" s="32"/>
      <c r="AR65" s="33"/>
      <c r="AS65" s="34"/>
      <c r="AT65" s="34"/>
      <c r="AU65" s="34"/>
      <c r="AV65" s="34"/>
      <c r="AW65" s="34"/>
      <c r="AX65" s="34"/>
      <c r="AY65" s="34"/>
      <c r="AZ65" s="35"/>
      <c r="BA65" s="36"/>
    </row>
    <row r="66" spans="1:53" s="37" customFormat="1" ht="21.75" customHeight="1">
      <c r="A66" s="120"/>
      <c r="B66" s="129"/>
      <c r="C66" s="127"/>
      <c r="D66" s="123"/>
      <c r="E66" s="21" t="s">
        <v>56</v>
      </c>
      <c r="F66" s="96">
        <f t="shared" si="16"/>
        <v>47.531579999999998</v>
      </c>
      <c r="G66" s="15"/>
      <c r="H66" s="66">
        <v>47.531579999999998</v>
      </c>
      <c r="I66" s="66"/>
      <c r="J66" s="25"/>
      <c r="K66" s="25"/>
      <c r="L66" s="25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  <c r="AR66" s="33"/>
      <c r="AS66" s="34"/>
      <c r="AT66" s="34"/>
      <c r="AU66" s="34"/>
      <c r="AV66" s="34"/>
      <c r="AW66" s="34"/>
      <c r="AX66" s="34"/>
      <c r="AY66" s="34"/>
      <c r="AZ66" s="35"/>
      <c r="BA66" s="36"/>
    </row>
    <row r="67" spans="1:53" s="37" customFormat="1" ht="21.75" customHeight="1">
      <c r="A67" s="120"/>
      <c r="B67" s="129"/>
      <c r="C67" s="127"/>
      <c r="D67" s="123"/>
      <c r="E67" s="21" t="s">
        <v>57</v>
      </c>
      <c r="F67" s="96">
        <f t="shared" si="16"/>
        <v>0.95157999999999998</v>
      </c>
      <c r="G67" s="15">
        <v>0</v>
      </c>
      <c r="H67" s="23">
        <v>0.95157999999999998</v>
      </c>
      <c r="I67" s="23"/>
      <c r="J67" s="15">
        <v>0</v>
      </c>
      <c r="K67" s="15">
        <v>0</v>
      </c>
      <c r="L67" s="15">
        <v>0</v>
      </c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/>
      <c r="AR67" s="33"/>
      <c r="AS67" s="34"/>
      <c r="AT67" s="34"/>
      <c r="AU67" s="34"/>
      <c r="AV67" s="34"/>
      <c r="AW67" s="34"/>
      <c r="AX67" s="34"/>
      <c r="AY67" s="34"/>
      <c r="AZ67" s="35"/>
      <c r="BA67" s="36"/>
    </row>
    <row r="68" spans="1:53" s="48" customFormat="1" ht="48" customHeight="1">
      <c r="A68" s="121"/>
      <c r="B68" s="130"/>
      <c r="C68" s="111"/>
      <c r="D68" s="124"/>
      <c r="E68" s="21" t="s">
        <v>58</v>
      </c>
      <c r="F68" s="96">
        <f t="shared" si="16"/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O68" s="43"/>
      <c r="AP68" s="43"/>
      <c r="AQ68" s="43"/>
      <c r="AR68" s="44"/>
      <c r="AS68" s="45"/>
      <c r="AT68" s="45"/>
      <c r="AU68" s="45"/>
      <c r="AV68" s="45"/>
      <c r="AW68" s="45"/>
      <c r="AX68" s="45"/>
      <c r="AY68" s="45"/>
      <c r="AZ68" s="46"/>
      <c r="BA68" s="47"/>
    </row>
    <row r="69" spans="1:53" s="37" customFormat="1" ht="21.75" customHeight="1">
      <c r="A69" s="119" t="s">
        <v>63</v>
      </c>
      <c r="B69" s="119" t="s">
        <v>80</v>
      </c>
      <c r="C69" s="116" t="s">
        <v>184</v>
      </c>
      <c r="D69" s="122" t="s">
        <v>148</v>
      </c>
      <c r="E69" s="21" t="s">
        <v>47</v>
      </c>
      <c r="F69" s="96">
        <f t="shared" si="16"/>
        <v>832.94999999999993</v>
      </c>
      <c r="G69" s="90">
        <f t="shared" ref="G69:K69" si="22">G75</f>
        <v>200</v>
      </c>
      <c r="H69" s="90">
        <f t="shared" si="22"/>
        <v>170.6</v>
      </c>
      <c r="I69" s="90">
        <f t="shared" si="22"/>
        <v>139.15</v>
      </c>
      <c r="J69" s="90">
        <f>J75</f>
        <v>160.80000000000001</v>
      </c>
      <c r="K69" s="92">
        <f t="shared" si="22"/>
        <v>162.4</v>
      </c>
      <c r="L69" s="92">
        <f t="shared" ref="L69" si="23">L75</f>
        <v>0</v>
      </c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3"/>
      <c r="AS69" s="34"/>
      <c r="AT69" s="34"/>
      <c r="AU69" s="34"/>
      <c r="AV69" s="34"/>
      <c r="AW69" s="34"/>
      <c r="AX69" s="34"/>
      <c r="AY69" s="34"/>
      <c r="AZ69" s="35"/>
      <c r="BA69" s="36"/>
    </row>
    <row r="70" spans="1:53" s="37" customFormat="1" ht="21.75" customHeight="1">
      <c r="A70" s="120"/>
      <c r="B70" s="120"/>
      <c r="C70" s="117"/>
      <c r="D70" s="123"/>
      <c r="E70" s="21" t="s">
        <v>55</v>
      </c>
      <c r="F70" s="96">
        <f t="shared" si="16"/>
        <v>0</v>
      </c>
      <c r="G70" s="90">
        <f>G76</f>
        <v>0</v>
      </c>
      <c r="H70" s="90">
        <f>H76</f>
        <v>0</v>
      </c>
      <c r="I70" s="90">
        <f>I76</f>
        <v>0</v>
      </c>
      <c r="J70" s="90">
        <f>J76</f>
        <v>0</v>
      </c>
      <c r="K70" s="92">
        <f>K76</f>
        <v>0</v>
      </c>
      <c r="L70" s="92">
        <f t="shared" ref="L70" si="24">L76</f>
        <v>0</v>
      </c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3"/>
      <c r="AS70" s="34"/>
      <c r="AT70" s="34"/>
      <c r="AU70" s="34"/>
      <c r="AV70" s="34"/>
      <c r="AW70" s="34"/>
      <c r="AX70" s="34"/>
      <c r="AY70" s="34"/>
      <c r="AZ70" s="35"/>
      <c r="BA70" s="36"/>
    </row>
    <row r="71" spans="1:53" s="37" customFormat="1" ht="30.75" customHeight="1">
      <c r="A71" s="120"/>
      <c r="B71" s="120"/>
      <c r="C71" s="117"/>
      <c r="D71" s="123"/>
      <c r="E71" s="21" t="s">
        <v>166</v>
      </c>
      <c r="F71" s="96">
        <f t="shared" si="16"/>
        <v>0</v>
      </c>
      <c r="G71" s="90">
        <v>0</v>
      </c>
      <c r="H71" s="90">
        <v>0</v>
      </c>
      <c r="I71" s="90">
        <v>0</v>
      </c>
      <c r="J71" s="90">
        <v>0</v>
      </c>
      <c r="K71" s="90">
        <v>0</v>
      </c>
      <c r="L71" s="90">
        <v>0</v>
      </c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/>
      <c r="AN71" s="32"/>
      <c r="AO71" s="32"/>
      <c r="AP71" s="32"/>
      <c r="AQ71" s="32"/>
      <c r="AR71" s="33"/>
      <c r="AS71" s="34"/>
      <c r="AT71" s="34"/>
      <c r="AU71" s="34"/>
      <c r="AV71" s="34"/>
      <c r="AW71" s="34"/>
      <c r="AX71" s="34"/>
      <c r="AY71" s="34"/>
      <c r="AZ71" s="35"/>
      <c r="BA71" s="36"/>
    </row>
    <row r="72" spans="1:53" s="37" customFormat="1" ht="21.75" customHeight="1">
      <c r="A72" s="120"/>
      <c r="B72" s="120"/>
      <c r="C72" s="117"/>
      <c r="D72" s="123"/>
      <c r="E72" s="21" t="s">
        <v>56</v>
      </c>
      <c r="F72" s="96">
        <f t="shared" si="16"/>
        <v>0</v>
      </c>
      <c r="G72" s="90">
        <f t="shared" ref="G72:K74" si="25">G78</f>
        <v>0</v>
      </c>
      <c r="H72" s="90">
        <f t="shared" si="25"/>
        <v>0</v>
      </c>
      <c r="I72" s="90">
        <f t="shared" si="25"/>
        <v>0</v>
      </c>
      <c r="J72" s="90">
        <f t="shared" si="25"/>
        <v>0</v>
      </c>
      <c r="K72" s="92">
        <f t="shared" si="25"/>
        <v>0</v>
      </c>
      <c r="L72" s="92">
        <f t="shared" ref="L72" si="26">L78</f>
        <v>0</v>
      </c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33"/>
      <c r="AS72" s="34"/>
      <c r="AT72" s="34"/>
      <c r="AU72" s="34"/>
      <c r="AV72" s="34"/>
      <c r="AW72" s="34"/>
      <c r="AX72" s="34"/>
      <c r="AY72" s="34"/>
      <c r="AZ72" s="35"/>
      <c r="BA72" s="36"/>
    </row>
    <row r="73" spans="1:53" s="37" customFormat="1" ht="21.75" customHeight="1">
      <c r="A73" s="120"/>
      <c r="B73" s="120"/>
      <c r="C73" s="117"/>
      <c r="D73" s="123"/>
      <c r="E73" s="21" t="s">
        <v>57</v>
      </c>
      <c r="F73" s="96">
        <f t="shared" si="16"/>
        <v>832.94999999999993</v>
      </c>
      <c r="G73" s="90">
        <f t="shared" si="25"/>
        <v>200</v>
      </c>
      <c r="H73" s="90">
        <f t="shared" si="25"/>
        <v>170.6</v>
      </c>
      <c r="I73" s="90">
        <f t="shared" si="25"/>
        <v>139.15</v>
      </c>
      <c r="J73" s="90">
        <f t="shared" si="25"/>
        <v>160.80000000000001</v>
      </c>
      <c r="K73" s="92">
        <f t="shared" si="25"/>
        <v>162.4</v>
      </c>
      <c r="L73" s="92">
        <f t="shared" ref="L73" si="27">L79</f>
        <v>0</v>
      </c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/>
      <c r="AN73" s="32"/>
      <c r="AO73" s="32"/>
      <c r="AP73" s="32"/>
      <c r="AQ73" s="32"/>
      <c r="AR73" s="33"/>
      <c r="AS73" s="34"/>
      <c r="AT73" s="34"/>
      <c r="AU73" s="34"/>
      <c r="AV73" s="34"/>
      <c r="AW73" s="34"/>
      <c r="AX73" s="34"/>
      <c r="AY73" s="34"/>
      <c r="AZ73" s="35"/>
      <c r="BA73" s="36"/>
    </row>
    <row r="74" spans="1:53" s="53" customFormat="1" ht="18" customHeight="1">
      <c r="A74" s="121"/>
      <c r="B74" s="121"/>
      <c r="C74" s="118"/>
      <c r="D74" s="124"/>
      <c r="E74" s="21" t="s">
        <v>58</v>
      </c>
      <c r="F74" s="96">
        <f t="shared" si="16"/>
        <v>0</v>
      </c>
      <c r="G74" s="90">
        <f t="shared" si="25"/>
        <v>0</v>
      </c>
      <c r="H74" s="90">
        <f t="shared" si="25"/>
        <v>0</v>
      </c>
      <c r="I74" s="90">
        <f t="shared" si="25"/>
        <v>0</v>
      </c>
      <c r="J74" s="90">
        <f t="shared" si="25"/>
        <v>0</v>
      </c>
      <c r="K74" s="92">
        <f t="shared" si="25"/>
        <v>0</v>
      </c>
      <c r="L74" s="92">
        <f t="shared" ref="L74" si="28">L80</f>
        <v>0</v>
      </c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49"/>
      <c r="AS74" s="50"/>
      <c r="AT74" s="50"/>
      <c r="AU74" s="50"/>
      <c r="AV74" s="50"/>
      <c r="AW74" s="50"/>
      <c r="AX74" s="50"/>
      <c r="AY74" s="50"/>
      <c r="AZ74" s="51"/>
      <c r="BA74" s="52"/>
    </row>
    <row r="75" spans="1:53" s="37" customFormat="1" ht="21.75" customHeight="1">
      <c r="A75" s="119" t="s">
        <v>22</v>
      </c>
      <c r="B75" s="128" t="s">
        <v>106</v>
      </c>
      <c r="C75" s="116" t="s">
        <v>184</v>
      </c>
      <c r="D75" s="122" t="s">
        <v>148</v>
      </c>
      <c r="E75" s="21" t="s">
        <v>47</v>
      </c>
      <c r="F75" s="96">
        <f t="shared" si="16"/>
        <v>832.94999999999993</v>
      </c>
      <c r="G75" s="90">
        <f t="shared" ref="G75:L75" si="29">G76+G78+G79+G80</f>
        <v>200</v>
      </c>
      <c r="H75" s="90">
        <f t="shared" si="29"/>
        <v>170.6</v>
      </c>
      <c r="I75" s="90">
        <f t="shared" si="29"/>
        <v>139.15</v>
      </c>
      <c r="J75" s="90">
        <f t="shared" si="29"/>
        <v>160.80000000000001</v>
      </c>
      <c r="K75" s="92">
        <f t="shared" si="29"/>
        <v>162.4</v>
      </c>
      <c r="L75" s="92">
        <f t="shared" si="29"/>
        <v>0</v>
      </c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2"/>
      <c r="AN75" s="32"/>
      <c r="AO75" s="32"/>
      <c r="AP75" s="32"/>
      <c r="AQ75" s="32"/>
      <c r="AR75" s="33"/>
      <c r="AS75" s="34"/>
      <c r="AT75" s="34"/>
      <c r="AU75" s="34"/>
      <c r="AV75" s="34"/>
      <c r="AW75" s="34"/>
      <c r="AX75" s="34"/>
      <c r="AY75" s="34"/>
      <c r="AZ75" s="35"/>
      <c r="BA75" s="36"/>
    </row>
    <row r="76" spans="1:53" s="37" customFormat="1" ht="21.75" customHeight="1">
      <c r="A76" s="120"/>
      <c r="B76" s="129"/>
      <c r="C76" s="117"/>
      <c r="D76" s="123"/>
      <c r="E76" s="21" t="s">
        <v>55</v>
      </c>
      <c r="F76" s="96">
        <f t="shared" si="16"/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3"/>
      <c r="AS76" s="34"/>
      <c r="AT76" s="34"/>
      <c r="AU76" s="34"/>
      <c r="AV76" s="34"/>
      <c r="AW76" s="34"/>
      <c r="AX76" s="34"/>
      <c r="AY76" s="34"/>
      <c r="AZ76" s="35"/>
      <c r="BA76" s="36"/>
    </row>
    <row r="77" spans="1:53" s="37" customFormat="1" ht="27" customHeight="1">
      <c r="A77" s="120"/>
      <c r="B77" s="129"/>
      <c r="C77" s="117"/>
      <c r="D77" s="123"/>
      <c r="E77" s="21" t="s">
        <v>166</v>
      </c>
      <c r="F77" s="96">
        <f t="shared" si="16"/>
        <v>0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2"/>
      <c r="AQ77" s="32"/>
      <c r="AR77" s="33"/>
      <c r="AS77" s="34"/>
      <c r="AT77" s="34"/>
      <c r="AU77" s="34"/>
      <c r="AV77" s="34"/>
      <c r="AW77" s="34"/>
      <c r="AX77" s="34"/>
      <c r="AY77" s="34"/>
      <c r="AZ77" s="35"/>
      <c r="BA77" s="36"/>
    </row>
    <row r="78" spans="1:53" s="37" customFormat="1" ht="21.75" customHeight="1">
      <c r="A78" s="120"/>
      <c r="B78" s="129"/>
      <c r="C78" s="117"/>
      <c r="D78" s="123"/>
      <c r="E78" s="21" t="s">
        <v>56</v>
      </c>
      <c r="F78" s="96">
        <f t="shared" si="16"/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3"/>
      <c r="AS78" s="34"/>
      <c r="AT78" s="34"/>
      <c r="AU78" s="34"/>
      <c r="AV78" s="34"/>
      <c r="AW78" s="34"/>
      <c r="AX78" s="34"/>
      <c r="AY78" s="34"/>
      <c r="AZ78" s="35"/>
      <c r="BA78" s="36"/>
    </row>
    <row r="79" spans="1:53" s="37" customFormat="1" ht="21.75" customHeight="1">
      <c r="A79" s="120"/>
      <c r="B79" s="129"/>
      <c r="C79" s="117"/>
      <c r="D79" s="123"/>
      <c r="E79" s="21" t="s">
        <v>57</v>
      </c>
      <c r="F79" s="96">
        <f t="shared" ref="F79:F110" si="30">G79+H79+I79+J79+K79+L79</f>
        <v>832.94999999999993</v>
      </c>
      <c r="G79" s="15">
        <v>200</v>
      </c>
      <c r="H79" s="14">
        <f>200-29.4</f>
        <v>170.6</v>
      </c>
      <c r="I79" s="14">
        <f>139.15</f>
        <v>139.15</v>
      </c>
      <c r="J79" s="14">
        <f>162.4-1.6</f>
        <v>160.80000000000001</v>
      </c>
      <c r="K79" s="14">
        <v>162.4</v>
      </c>
      <c r="L79" s="14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  <c r="AR79" s="33"/>
      <c r="AS79" s="34"/>
      <c r="AT79" s="34"/>
      <c r="AU79" s="34"/>
      <c r="AV79" s="34"/>
      <c r="AW79" s="34"/>
      <c r="AX79" s="34"/>
      <c r="AY79" s="34"/>
      <c r="AZ79" s="35"/>
      <c r="BA79" s="36"/>
    </row>
    <row r="80" spans="1:53" s="53" customFormat="1" ht="18" customHeight="1">
      <c r="A80" s="121"/>
      <c r="B80" s="130"/>
      <c r="C80" s="118"/>
      <c r="D80" s="124"/>
      <c r="E80" s="21" t="s">
        <v>58</v>
      </c>
      <c r="F80" s="96">
        <f t="shared" si="30"/>
        <v>0</v>
      </c>
      <c r="G80" s="14">
        <v>0</v>
      </c>
      <c r="H80" s="13">
        <v>0</v>
      </c>
      <c r="I80" s="14">
        <v>0</v>
      </c>
      <c r="J80" s="14">
        <v>0</v>
      </c>
      <c r="K80" s="14">
        <v>0</v>
      </c>
      <c r="L80" s="14">
        <v>0</v>
      </c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49"/>
      <c r="AS80" s="50"/>
      <c r="AT80" s="50"/>
      <c r="AU80" s="50"/>
      <c r="AV80" s="50"/>
      <c r="AW80" s="50"/>
      <c r="AX80" s="50"/>
      <c r="AY80" s="50"/>
      <c r="AZ80" s="51"/>
      <c r="BA80" s="52"/>
    </row>
    <row r="81" spans="1:53" s="37" customFormat="1" ht="21.75" customHeight="1">
      <c r="A81" s="119" t="s">
        <v>64</v>
      </c>
      <c r="B81" s="119" t="s">
        <v>81</v>
      </c>
      <c r="C81" s="116" t="s">
        <v>183</v>
      </c>
      <c r="D81" s="119" t="s">
        <v>149</v>
      </c>
      <c r="E81" s="17" t="s">
        <v>47</v>
      </c>
      <c r="F81" s="96">
        <f t="shared" si="30"/>
        <v>205037.83162000001</v>
      </c>
      <c r="G81" s="90">
        <f>G87+G93+G99+G105+G111</f>
        <v>25014.947349999999</v>
      </c>
      <c r="H81" s="90">
        <f>H87+H93+H99+H105+H111</f>
        <v>31872.0419</v>
      </c>
      <c r="I81" s="90">
        <f>I87+I93+I99+I105+I111+I117</f>
        <v>35052.640370000001</v>
      </c>
      <c r="J81" s="90">
        <f>J87+J93+J99+J105+J111+J117</f>
        <v>36601.715000000004</v>
      </c>
      <c r="K81" s="92">
        <f>K87+K93+K99+K105+K111</f>
        <v>37075.243000000002</v>
      </c>
      <c r="L81" s="92">
        <f>L87+L93+L99+L105</f>
        <v>39421.243999999999</v>
      </c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2"/>
      <c r="AR81" s="33"/>
      <c r="AS81" s="34"/>
      <c r="AT81" s="34"/>
      <c r="AU81" s="34"/>
      <c r="AV81" s="34"/>
      <c r="AW81" s="34"/>
      <c r="AX81" s="34"/>
      <c r="AY81" s="34"/>
      <c r="AZ81" s="35"/>
      <c r="BA81" s="36"/>
    </row>
    <row r="82" spans="1:53" s="37" customFormat="1" ht="21.75" customHeight="1">
      <c r="A82" s="120"/>
      <c r="B82" s="120"/>
      <c r="C82" s="117"/>
      <c r="D82" s="120"/>
      <c r="E82" s="17" t="s">
        <v>55</v>
      </c>
      <c r="F82" s="96">
        <f t="shared" si="30"/>
        <v>837.9</v>
      </c>
      <c r="G82" s="90">
        <f>G94+G100+G106</f>
        <v>0</v>
      </c>
      <c r="H82" s="90">
        <f>H94+H100+H106</f>
        <v>0</v>
      </c>
      <c r="I82" s="90">
        <f>I118</f>
        <v>837.9</v>
      </c>
      <c r="J82" s="90">
        <f>J118</f>
        <v>0</v>
      </c>
      <c r="K82" s="92">
        <f>K94+K100+K106</f>
        <v>0</v>
      </c>
      <c r="L82" s="92">
        <f t="shared" ref="L82" si="31">L94+L100+L106</f>
        <v>0</v>
      </c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  <c r="AR82" s="33"/>
      <c r="AS82" s="34"/>
      <c r="AT82" s="34"/>
      <c r="AU82" s="34"/>
      <c r="AV82" s="34"/>
      <c r="AW82" s="34"/>
      <c r="AX82" s="34"/>
      <c r="AY82" s="34"/>
      <c r="AZ82" s="35"/>
      <c r="BA82" s="36"/>
    </row>
    <row r="83" spans="1:53" s="37" customFormat="1" ht="26.25" customHeight="1">
      <c r="A83" s="120"/>
      <c r="B83" s="120"/>
      <c r="C83" s="117"/>
      <c r="D83" s="120"/>
      <c r="E83" s="21" t="s">
        <v>166</v>
      </c>
      <c r="F83" s="96">
        <f t="shared" si="30"/>
        <v>0</v>
      </c>
      <c r="G83" s="90">
        <v>0</v>
      </c>
      <c r="H83" s="90">
        <v>0</v>
      </c>
      <c r="I83" s="90">
        <v>0</v>
      </c>
      <c r="J83" s="90">
        <v>0</v>
      </c>
      <c r="K83" s="90">
        <v>0</v>
      </c>
      <c r="L83" s="90">
        <v>0</v>
      </c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3"/>
      <c r="AS83" s="34"/>
      <c r="AT83" s="34"/>
      <c r="AU83" s="34"/>
      <c r="AV83" s="34"/>
      <c r="AW83" s="34"/>
      <c r="AX83" s="34"/>
      <c r="AY83" s="34"/>
      <c r="AZ83" s="35"/>
      <c r="BA83" s="36"/>
    </row>
    <row r="84" spans="1:53" s="37" customFormat="1" ht="21.75" customHeight="1">
      <c r="A84" s="120"/>
      <c r="B84" s="120"/>
      <c r="C84" s="117"/>
      <c r="D84" s="120"/>
      <c r="E84" s="17" t="s">
        <v>56</v>
      </c>
      <c r="F84" s="96">
        <f t="shared" si="30"/>
        <v>44.1</v>
      </c>
      <c r="G84" s="90">
        <f>G96+G102+G108</f>
        <v>0</v>
      </c>
      <c r="H84" s="90">
        <f>H96+H102+H108</f>
        <v>0</v>
      </c>
      <c r="I84" s="90">
        <f>I120</f>
        <v>44.1</v>
      </c>
      <c r="J84" s="90">
        <f>J90+J96+J102+J108+J114+J120</f>
        <v>0</v>
      </c>
      <c r="K84" s="92">
        <f>K96+K102+K108</f>
        <v>0</v>
      </c>
      <c r="L84" s="92">
        <f t="shared" ref="L84" si="32">L96+L102+L108</f>
        <v>0</v>
      </c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3"/>
      <c r="AS84" s="34"/>
      <c r="AT84" s="34"/>
      <c r="AU84" s="34"/>
      <c r="AV84" s="34"/>
      <c r="AW84" s="34"/>
      <c r="AX84" s="34"/>
      <c r="AY84" s="34"/>
      <c r="AZ84" s="35"/>
      <c r="BA84" s="36"/>
    </row>
    <row r="85" spans="1:53" s="37" customFormat="1" ht="21.75" customHeight="1">
      <c r="A85" s="120"/>
      <c r="B85" s="120"/>
      <c r="C85" s="117"/>
      <c r="D85" s="120"/>
      <c r="E85" s="17" t="s">
        <v>57</v>
      </c>
      <c r="F85" s="96">
        <f t="shared" si="30"/>
        <v>204155.83162000001</v>
      </c>
      <c r="G85" s="90">
        <f>G91+G97+G103+G109+G115+G121</f>
        <v>25014.947349999999</v>
      </c>
      <c r="H85" s="90">
        <f>H87+H93+H99+H105+H111</f>
        <v>31872.0419</v>
      </c>
      <c r="I85" s="90">
        <f>I91+I97+I103+I109+I115+I121</f>
        <v>34170.640370000001</v>
      </c>
      <c r="J85" s="90">
        <f>J91+J97+J103+J109+J115+J121</f>
        <v>36601.715000000004</v>
      </c>
      <c r="K85" s="92">
        <f t="shared" ref="K85" si="33">K91+K97+K103+K109</f>
        <v>37075.243000000002</v>
      </c>
      <c r="L85" s="92">
        <f t="shared" ref="L85" si="34">L91+L97+L103+L109</f>
        <v>39421.243999999999</v>
      </c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  <c r="AP85" s="32"/>
      <c r="AQ85" s="32"/>
      <c r="AR85" s="33"/>
      <c r="AS85" s="34"/>
      <c r="AT85" s="34"/>
      <c r="AU85" s="34"/>
      <c r="AV85" s="34"/>
      <c r="AW85" s="34"/>
      <c r="AX85" s="34"/>
      <c r="AY85" s="34"/>
      <c r="AZ85" s="35"/>
      <c r="BA85" s="36"/>
    </row>
    <row r="86" spans="1:53" s="53" customFormat="1" ht="19.5" customHeight="1">
      <c r="A86" s="121"/>
      <c r="B86" s="121"/>
      <c r="C86" s="118"/>
      <c r="D86" s="120"/>
      <c r="E86" s="17" t="s">
        <v>58</v>
      </c>
      <c r="F86" s="96">
        <f t="shared" si="30"/>
        <v>0</v>
      </c>
      <c r="G86" s="90">
        <f>G98+G104+G110</f>
        <v>0</v>
      </c>
      <c r="H86" s="90">
        <f>H98+H104+H110</f>
        <v>0</v>
      </c>
      <c r="I86" s="90">
        <f>I98+I104+I110</f>
        <v>0</v>
      </c>
      <c r="J86" s="90">
        <f>J98+J104+J110</f>
        <v>0</v>
      </c>
      <c r="K86" s="92">
        <f>K98+K104+K110</f>
        <v>0</v>
      </c>
      <c r="L86" s="92">
        <f t="shared" ref="L86" si="35">L98+L104+L110</f>
        <v>0</v>
      </c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49"/>
      <c r="AS86" s="50"/>
      <c r="AT86" s="50"/>
      <c r="AU86" s="50"/>
      <c r="AV86" s="50"/>
      <c r="AW86" s="50"/>
      <c r="AX86" s="50"/>
      <c r="AY86" s="50"/>
      <c r="AZ86" s="51"/>
      <c r="BA86" s="52"/>
    </row>
    <row r="87" spans="1:53" s="37" customFormat="1" ht="21.75" customHeight="1">
      <c r="A87" s="119" t="s">
        <v>65</v>
      </c>
      <c r="B87" s="128" t="s">
        <v>114</v>
      </c>
      <c r="C87" s="116" t="s">
        <v>185</v>
      </c>
      <c r="D87" s="131" t="s">
        <v>150</v>
      </c>
      <c r="E87" s="17" t="s">
        <v>47</v>
      </c>
      <c r="F87" s="96">
        <f t="shared" si="30"/>
        <v>2724.692</v>
      </c>
      <c r="G87" s="90">
        <f>G88+G90+G91+G92</f>
        <v>549.04200000000003</v>
      </c>
      <c r="H87" s="90">
        <f t="shared" ref="H87:K87" si="36">H88+H90+H91+H92</f>
        <v>1247.5</v>
      </c>
      <c r="I87" s="90">
        <f>I88+I90+I91+I92</f>
        <v>775.15</v>
      </c>
      <c r="J87" s="90">
        <f>J88+J90+J91+J92</f>
        <v>153</v>
      </c>
      <c r="K87" s="92">
        <f t="shared" si="36"/>
        <v>0</v>
      </c>
      <c r="L87" s="92">
        <f t="shared" ref="L87" si="37">L88+L90+L91+L92</f>
        <v>0</v>
      </c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2"/>
      <c r="AJ87" s="32"/>
      <c r="AK87" s="32"/>
      <c r="AL87" s="32"/>
      <c r="AM87" s="32"/>
      <c r="AN87" s="32"/>
      <c r="AO87" s="32"/>
      <c r="AP87" s="32"/>
      <c r="AQ87" s="32"/>
      <c r="AR87" s="33"/>
      <c r="AS87" s="34"/>
      <c r="AT87" s="34"/>
      <c r="AU87" s="34"/>
      <c r="AV87" s="34"/>
      <c r="AW87" s="34"/>
      <c r="AX87" s="34"/>
      <c r="AY87" s="34"/>
      <c r="AZ87" s="35"/>
      <c r="BA87" s="36"/>
    </row>
    <row r="88" spans="1:53" s="37" customFormat="1" ht="21.75" customHeight="1">
      <c r="A88" s="120"/>
      <c r="B88" s="129"/>
      <c r="C88" s="117"/>
      <c r="D88" s="132"/>
      <c r="E88" s="17" t="s">
        <v>55</v>
      </c>
      <c r="F88" s="96">
        <f t="shared" si="30"/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3"/>
      <c r="AS88" s="34"/>
      <c r="AT88" s="34"/>
      <c r="AU88" s="34"/>
      <c r="AV88" s="34"/>
      <c r="AW88" s="34"/>
      <c r="AX88" s="34"/>
      <c r="AY88" s="34"/>
      <c r="AZ88" s="35"/>
      <c r="BA88" s="36"/>
    </row>
    <row r="89" spans="1:53" s="37" customFormat="1" ht="25.5" customHeight="1">
      <c r="A89" s="120"/>
      <c r="B89" s="129"/>
      <c r="C89" s="117"/>
      <c r="D89" s="132"/>
      <c r="E89" s="21" t="s">
        <v>166</v>
      </c>
      <c r="F89" s="96">
        <f t="shared" si="30"/>
        <v>0</v>
      </c>
      <c r="G89" s="14">
        <v>0</v>
      </c>
      <c r="H89" s="14">
        <v>0</v>
      </c>
      <c r="I89" s="14">
        <v>0</v>
      </c>
      <c r="J89" s="14">
        <v>0</v>
      </c>
      <c r="K89" s="14">
        <v>0</v>
      </c>
      <c r="L89" s="14">
        <v>0</v>
      </c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32"/>
      <c r="AN89" s="32"/>
      <c r="AO89" s="32"/>
      <c r="AP89" s="32"/>
      <c r="AQ89" s="32"/>
      <c r="AR89" s="33"/>
      <c r="AS89" s="34"/>
      <c r="AT89" s="34"/>
      <c r="AU89" s="34"/>
      <c r="AV89" s="34"/>
      <c r="AW89" s="34"/>
      <c r="AX89" s="34"/>
      <c r="AY89" s="34"/>
      <c r="AZ89" s="35"/>
      <c r="BA89" s="36"/>
    </row>
    <row r="90" spans="1:53" s="37" customFormat="1" ht="21.75" customHeight="1">
      <c r="A90" s="120"/>
      <c r="B90" s="129"/>
      <c r="C90" s="117"/>
      <c r="D90" s="132"/>
      <c r="E90" s="17" t="s">
        <v>56</v>
      </c>
      <c r="F90" s="96">
        <f t="shared" si="30"/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32"/>
      <c r="AN90" s="32"/>
      <c r="AO90" s="32"/>
      <c r="AP90" s="32"/>
      <c r="AQ90" s="32"/>
      <c r="AR90" s="33"/>
      <c r="AS90" s="34"/>
      <c r="AT90" s="34"/>
      <c r="AU90" s="34"/>
      <c r="AV90" s="34"/>
      <c r="AW90" s="34"/>
      <c r="AX90" s="34"/>
      <c r="AY90" s="34"/>
      <c r="AZ90" s="35"/>
      <c r="BA90" s="36"/>
    </row>
    <row r="91" spans="1:53" s="37" customFormat="1" ht="21.75" customHeight="1">
      <c r="A91" s="120"/>
      <c r="B91" s="129"/>
      <c r="C91" s="117"/>
      <c r="D91" s="132"/>
      <c r="E91" s="17" t="s">
        <v>57</v>
      </c>
      <c r="F91" s="96">
        <f t="shared" si="30"/>
        <v>2724.692</v>
      </c>
      <c r="G91" s="15">
        <v>549.04200000000003</v>
      </c>
      <c r="H91" s="14">
        <f>1247.5</f>
        <v>1247.5</v>
      </c>
      <c r="I91" s="66">
        <f>775.15</f>
        <v>775.15</v>
      </c>
      <c r="J91" s="66">
        <v>153</v>
      </c>
      <c r="K91" s="14">
        <v>0</v>
      </c>
      <c r="L91" s="14">
        <v>0</v>
      </c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2"/>
      <c r="AR91" s="33"/>
      <c r="AS91" s="34"/>
      <c r="AT91" s="34"/>
      <c r="AU91" s="34"/>
      <c r="AV91" s="34"/>
      <c r="AW91" s="34"/>
      <c r="AX91" s="34"/>
      <c r="AY91" s="34"/>
      <c r="AZ91" s="35"/>
      <c r="BA91" s="36"/>
    </row>
    <row r="92" spans="1:53" s="53" customFormat="1" ht="21.75" customHeight="1">
      <c r="A92" s="121"/>
      <c r="B92" s="130"/>
      <c r="C92" s="118"/>
      <c r="D92" s="133"/>
      <c r="E92" s="17" t="s">
        <v>58</v>
      </c>
      <c r="F92" s="96">
        <f t="shared" si="30"/>
        <v>0</v>
      </c>
      <c r="G92" s="14">
        <v>0</v>
      </c>
      <c r="H92" s="13">
        <v>0</v>
      </c>
      <c r="I92" s="14">
        <v>0</v>
      </c>
      <c r="J92" s="14">
        <v>0</v>
      </c>
      <c r="K92" s="14">
        <v>0</v>
      </c>
      <c r="L92" s="14">
        <v>0</v>
      </c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49"/>
      <c r="AS92" s="50"/>
      <c r="AT92" s="50"/>
      <c r="AU92" s="50"/>
      <c r="AV92" s="50"/>
      <c r="AW92" s="50"/>
      <c r="AX92" s="50"/>
      <c r="AY92" s="50"/>
      <c r="AZ92" s="51"/>
      <c r="BA92" s="52"/>
    </row>
    <row r="93" spans="1:53" s="37" customFormat="1" ht="21.75" customHeight="1">
      <c r="A93" s="119" t="s">
        <v>2</v>
      </c>
      <c r="B93" s="128" t="s">
        <v>115</v>
      </c>
      <c r="C93" s="116" t="s">
        <v>179</v>
      </c>
      <c r="D93" s="131" t="s">
        <v>151</v>
      </c>
      <c r="E93" s="17" t="s">
        <v>47</v>
      </c>
      <c r="F93" s="96">
        <f t="shared" si="30"/>
        <v>111905.03099999999</v>
      </c>
      <c r="G93" s="90">
        <f>G94+G96+G97+G98</f>
        <v>13447.621999999999</v>
      </c>
      <c r="H93" s="90">
        <f t="shared" ref="H93:L93" si="38">H94+H96+H97+H98</f>
        <v>16493.159</v>
      </c>
      <c r="I93" s="90">
        <f t="shared" si="38"/>
        <v>18826.055</v>
      </c>
      <c r="J93" s="90">
        <f t="shared" si="38"/>
        <v>19938.585999999999</v>
      </c>
      <c r="K93" s="92">
        <f t="shared" si="38"/>
        <v>20930.885999999999</v>
      </c>
      <c r="L93" s="92">
        <f t="shared" si="38"/>
        <v>22268.723000000002</v>
      </c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  <c r="AP93" s="32"/>
      <c r="AQ93" s="32"/>
      <c r="AR93" s="33"/>
      <c r="AS93" s="34"/>
      <c r="AT93" s="34"/>
      <c r="AU93" s="34"/>
      <c r="AV93" s="34"/>
      <c r="AW93" s="34"/>
      <c r="AX93" s="34"/>
      <c r="AY93" s="34"/>
      <c r="AZ93" s="35"/>
      <c r="BA93" s="36"/>
    </row>
    <row r="94" spans="1:53" s="37" customFormat="1" ht="21.75" customHeight="1">
      <c r="A94" s="120"/>
      <c r="B94" s="129"/>
      <c r="C94" s="117"/>
      <c r="D94" s="132"/>
      <c r="E94" s="17" t="s">
        <v>55</v>
      </c>
      <c r="F94" s="96">
        <f t="shared" si="30"/>
        <v>0</v>
      </c>
      <c r="G94" s="14">
        <v>0</v>
      </c>
      <c r="H94" s="14">
        <v>0</v>
      </c>
      <c r="I94" s="14">
        <v>0</v>
      </c>
      <c r="J94" s="14">
        <v>0</v>
      </c>
      <c r="K94" s="65"/>
      <c r="L94" s="65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32"/>
      <c r="AJ94" s="32"/>
      <c r="AK94" s="32"/>
      <c r="AL94" s="32"/>
      <c r="AM94" s="32"/>
      <c r="AN94" s="32"/>
      <c r="AO94" s="32"/>
      <c r="AP94" s="32"/>
      <c r="AQ94" s="32"/>
      <c r="AR94" s="33"/>
      <c r="AS94" s="34"/>
      <c r="AT94" s="34"/>
      <c r="AU94" s="34"/>
      <c r="AV94" s="34"/>
      <c r="AW94" s="34"/>
      <c r="AX94" s="34"/>
      <c r="AY94" s="34"/>
      <c r="AZ94" s="35"/>
      <c r="BA94" s="36"/>
    </row>
    <row r="95" spans="1:53" s="37" customFormat="1" ht="30" customHeight="1">
      <c r="A95" s="120"/>
      <c r="B95" s="129"/>
      <c r="C95" s="117"/>
      <c r="D95" s="132"/>
      <c r="E95" s="21" t="s">
        <v>166</v>
      </c>
      <c r="F95" s="96">
        <f t="shared" si="30"/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32"/>
      <c r="AJ95" s="32"/>
      <c r="AK95" s="32"/>
      <c r="AL95" s="32"/>
      <c r="AM95" s="32"/>
      <c r="AN95" s="32"/>
      <c r="AO95" s="32"/>
      <c r="AP95" s="32"/>
      <c r="AQ95" s="32"/>
      <c r="AR95" s="33"/>
      <c r="AS95" s="34"/>
      <c r="AT95" s="34"/>
      <c r="AU95" s="34"/>
      <c r="AV95" s="34"/>
      <c r="AW95" s="34"/>
      <c r="AX95" s="34"/>
      <c r="AY95" s="34"/>
      <c r="AZ95" s="35"/>
      <c r="BA95" s="36"/>
    </row>
    <row r="96" spans="1:53" s="37" customFormat="1" ht="21.75" customHeight="1">
      <c r="A96" s="120"/>
      <c r="B96" s="129"/>
      <c r="C96" s="117"/>
      <c r="D96" s="132"/>
      <c r="E96" s="17" t="s">
        <v>56</v>
      </c>
      <c r="F96" s="96">
        <f t="shared" si="30"/>
        <v>0</v>
      </c>
      <c r="G96" s="14">
        <v>0</v>
      </c>
      <c r="H96" s="14">
        <v>0</v>
      </c>
      <c r="I96" s="14">
        <v>0</v>
      </c>
      <c r="J96" s="14">
        <v>0</v>
      </c>
      <c r="K96" s="65"/>
      <c r="L96" s="65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2"/>
      <c r="AN96" s="32"/>
      <c r="AO96" s="32"/>
      <c r="AP96" s="32"/>
      <c r="AQ96" s="32"/>
      <c r="AR96" s="33"/>
      <c r="AS96" s="34"/>
      <c r="AT96" s="34"/>
      <c r="AU96" s="34"/>
      <c r="AV96" s="34"/>
      <c r="AW96" s="34"/>
      <c r="AX96" s="34"/>
      <c r="AY96" s="34"/>
      <c r="AZ96" s="35"/>
      <c r="BA96" s="36"/>
    </row>
    <row r="97" spans="1:53" s="37" customFormat="1" ht="21.75" customHeight="1">
      <c r="A97" s="120"/>
      <c r="B97" s="129"/>
      <c r="C97" s="117"/>
      <c r="D97" s="132"/>
      <c r="E97" s="17" t="s">
        <v>57</v>
      </c>
      <c r="F97" s="96">
        <f t="shared" si="30"/>
        <v>111905.03099999999</v>
      </c>
      <c r="G97" s="15">
        <f>13200.514+137.108-141.215+251.215</f>
        <v>13447.621999999999</v>
      </c>
      <c r="H97" s="14">
        <f>16493.159</f>
        <v>16493.159</v>
      </c>
      <c r="I97" s="14">
        <f>18826.055</f>
        <v>18826.055</v>
      </c>
      <c r="J97" s="14">
        <f>19924.978+13.608</f>
        <v>19938.585999999999</v>
      </c>
      <c r="K97" s="14">
        <v>20930.885999999999</v>
      </c>
      <c r="L97" s="15">
        <v>22268.723000000002</v>
      </c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  <c r="AJ97" s="32"/>
      <c r="AK97" s="32"/>
      <c r="AL97" s="32"/>
      <c r="AM97" s="32"/>
      <c r="AN97" s="32"/>
      <c r="AO97" s="32"/>
      <c r="AP97" s="32"/>
      <c r="AQ97" s="32"/>
      <c r="AR97" s="33"/>
      <c r="AS97" s="34"/>
      <c r="AT97" s="34"/>
      <c r="AU97" s="34"/>
      <c r="AV97" s="34"/>
      <c r="AW97" s="34"/>
      <c r="AX97" s="34"/>
      <c r="AY97" s="34"/>
      <c r="AZ97" s="35"/>
      <c r="BA97" s="36"/>
    </row>
    <row r="98" spans="1:53" s="53" customFormat="1" ht="21.75" customHeight="1">
      <c r="A98" s="121"/>
      <c r="B98" s="130"/>
      <c r="C98" s="118"/>
      <c r="D98" s="133"/>
      <c r="E98" s="17" t="s">
        <v>58</v>
      </c>
      <c r="F98" s="96">
        <f t="shared" si="30"/>
        <v>0</v>
      </c>
      <c r="G98" s="14">
        <v>0</v>
      </c>
      <c r="H98" s="13">
        <v>0</v>
      </c>
      <c r="I98" s="14">
        <v>0</v>
      </c>
      <c r="J98" s="14">
        <v>0</v>
      </c>
      <c r="K98" s="65"/>
      <c r="L98" s="65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49"/>
      <c r="AS98" s="50"/>
      <c r="AT98" s="50"/>
      <c r="AU98" s="50"/>
      <c r="AV98" s="50"/>
      <c r="AW98" s="50"/>
      <c r="AX98" s="50"/>
      <c r="AY98" s="50"/>
      <c r="AZ98" s="51"/>
      <c r="BA98" s="52"/>
    </row>
    <row r="99" spans="1:53" s="37" customFormat="1" ht="21.75" customHeight="1">
      <c r="A99" s="119" t="s">
        <v>66</v>
      </c>
      <c r="B99" s="128" t="s">
        <v>116</v>
      </c>
      <c r="C99" s="116" t="s">
        <v>183</v>
      </c>
      <c r="D99" s="131" t="s">
        <v>152</v>
      </c>
      <c r="E99" s="17" t="s">
        <v>47</v>
      </c>
      <c r="F99" s="96">
        <f t="shared" si="30"/>
        <v>42040.887000000002</v>
      </c>
      <c r="G99" s="90">
        <f t="shared" ref="G99:J99" si="39">G100+G102+G103+G104</f>
        <v>5178.9229999999998</v>
      </c>
      <c r="H99" s="90">
        <f t="shared" si="39"/>
        <v>6297.915</v>
      </c>
      <c r="I99" s="90">
        <f t="shared" si="39"/>
        <v>6833.3670000000002</v>
      </c>
      <c r="J99" s="90">
        <f t="shared" si="39"/>
        <v>7996.9220000000005</v>
      </c>
      <c r="K99" s="90">
        <f t="shared" ref="K99:L99" si="40">K100+K102+K103+K104</f>
        <v>7630.25</v>
      </c>
      <c r="L99" s="90">
        <f t="shared" si="40"/>
        <v>8103.51</v>
      </c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  <c r="AF99" s="32"/>
      <c r="AG99" s="32"/>
      <c r="AH99" s="32"/>
      <c r="AI99" s="32"/>
      <c r="AJ99" s="32"/>
      <c r="AK99" s="32"/>
      <c r="AL99" s="32"/>
      <c r="AM99" s="32"/>
      <c r="AN99" s="32"/>
      <c r="AO99" s="32"/>
      <c r="AP99" s="32"/>
      <c r="AQ99" s="32"/>
      <c r="AR99" s="33"/>
      <c r="AS99" s="34"/>
      <c r="AT99" s="34"/>
      <c r="AU99" s="34"/>
      <c r="AV99" s="34"/>
      <c r="AW99" s="34"/>
      <c r="AX99" s="34"/>
      <c r="AY99" s="34"/>
      <c r="AZ99" s="35"/>
      <c r="BA99" s="36"/>
    </row>
    <row r="100" spans="1:53" s="37" customFormat="1" ht="21.75" customHeight="1">
      <c r="A100" s="120"/>
      <c r="B100" s="129"/>
      <c r="C100" s="117"/>
      <c r="D100" s="132"/>
      <c r="E100" s="17" t="s">
        <v>55</v>
      </c>
      <c r="F100" s="96">
        <f t="shared" si="30"/>
        <v>0</v>
      </c>
      <c r="G100" s="14">
        <v>0</v>
      </c>
      <c r="H100" s="14">
        <v>0</v>
      </c>
      <c r="I100" s="14">
        <v>0</v>
      </c>
      <c r="J100" s="14">
        <v>0</v>
      </c>
      <c r="K100" s="14">
        <v>0</v>
      </c>
      <c r="L100" s="14">
        <v>0</v>
      </c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  <c r="AI100" s="32"/>
      <c r="AJ100" s="32"/>
      <c r="AK100" s="32"/>
      <c r="AL100" s="32"/>
      <c r="AM100" s="32"/>
      <c r="AN100" s="32"/>
      <c r="AO100" s="32"/>
      <c r="AP100" s="32"/>
      <c r="AQ100" s="32"/>
      <c r="AR100" s="33"/>
      <c r="AS100" s="34"/>
      <c r="AT100" s="34"/>
      <c r="AU100" s="34"/>
      <c r="AV100" s="34"/>
      <c r="AW100" s="34"/>
      <c r="AX100" s="34"/>
      <c r="AY100" s="34"/>
      <c r="AZ100" s="35"/>
      <c r="BA100" s="36"/>
    </row>
    <row r="101" spans="1:53" s="37" customFormat="1" ht="27.75" customHeight="1">
      <c r="A101" s="120"/>
      <c r="B101" s="129"/>
      <c r="C101" s="117"/>
      <c r="D101" s="132"/>
      <c r="E101" s="21" t="s">
        <v>166</v>
      </c>
      <c r="F101" s="96">
        <f t="shared" si="30"/>
        <v>0</v>
      </c>
      <c r="G101" s="14">
        <v>0</v>
      </c>
      <c r="H101" s="14">
        <v>0</v>
      </c>
      <c r="I101" s="14">
        <v>0</v>
      </c>
      <c r="J101" s="14">
        <v>0</v>
      </c>
      <c r="K101" s="14">
        <v>0</v>
      </c>
      <c r="L101" s="14">
        <v>0</v>
      </c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F101" s="32"/>
      <c r="AG101" s="32"/>
      <c r="AH101" s="32"/>
      <c r="AI101" s="32"/>
      <c r="AJ101" s="32"/>
      <c r="AK101" s="32"/>
      <c r="AL101" s="32"/>
      <c r="AM101" s="32"/>
      <c r="AN101" s="32"/>
      <c r="AO101" s="32"/>
      <c r="AP101" s="32"/>
      <c r="AQ101" s="32"/>
      <c r="AR101" s="33"/>
      <c r="AS101" s="34"/>
      <c r="AT101" s="34"/>
      <c r="AU101" s="34"/>
      <c r="AV101" s="34"/>
      <c r="AW101" s="34"/>
      <c r="AX101" s="34"/>
      <c r="AY101" s="34"/>
      <c r="AZ101" s="35"/>
      <c r="BA101" s="36"/>
    </row>
    <row r="102" spans="1:53" s="37" customFormat="1" ht="21.75" customHeight="1">
      <c r="A102" s="120"/>
      <c r="B102" s="129"/>
      <c r="C102" s="117"/>
      <c r="D102" s="132"/>
      <c r="E102" s="17" t="s">
        <v>56</v>
      </c>
      <c r="F102" s="96">
        <f t="shared" si="30"/>
        <v>0</v>
      </c>
      <c r="G102" s="14">
        <v>0</v>
      </c>
      <c r="H102" s="14">
        <v>0</v>
      </c>
      <c r="I102" s="14">
        <v>0</v>
      </c>
      <c r="J102" s="14">
        <v>0</v>
      </c>
      <c r="K102" s="14">
        <v>0</v>
      </c>
      <c r="L102" s="14">
        <v>0</v>
      </c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  <c r="AF102" s="32"/>
      <c r="AG102" s="32"/>
      <c r="AH102" s="32"/>
      <c r="AI102" s="32"/>
      <c r="AJ102" s="32"/>
      <c r="AK102" s="32"/>
      <c r="AL102" s="32"/>
      <c r="AM102" s="32"/>
      <c r="AN102" s="32"/>
      <c r="AO102" s="32"/>
      <c r="AP102" s="32"/>
      <c r="AQ102" s="32"/>
      <c r="AR102" s="33"/>
      <c r="AS102" s="34"/>
      <c r="AT102" s="34"/>
      <c r="AU102" s="34"/>
      <c r="AV102" s="34"/>
      <c r="AW102" s="34"/>
      <c r="AX102" s="34"/>
      <c r="AY102" s="34"/>
      <c r="AZ102" s="35"/>
      <c r="BA102" s="36"/>
    </row>
    <row r="103" spans="1:53" s="37" customFormat="1" ht="21.75" customHeight="1">
      <c r="A103" s="120"/>
      <c r="B103" s="129"/>
      <c r="C103" s="117"/>
      <c r="D103" s="132"/>
      <c r="E103" s="17" t="s">
        <v>57</v>
      </c>
      <c r="F103" s="96">
        <f t="shared" si="30"/>
        <v>42040.887000000002</v>
      </c>
      <c r="G103" s="15">
        <v>5178.9229999999998</v>
      </c>
      <c r="H103" s="14">
        <f>6297.915</f>
        <v>6297.915</v>
      </c>
      <c r="I103" s="15">
        <f>6890.527-57.16</f>
        <v>6833.3670000000002</v>
      </c>
      <c r="J103" s="15">
        <f>7983.314+13.608</f>
        <v>7996.9220000000005</v>
      </c>
      <c r="K103" s="14">
        <v>7630.25</v>
      </c>
      <c r="L103" s="15">
        <v>8103.51</v>
      </c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  <c r="AF103" s="32"/>
      <c r="AG103" s="32"/>
      <c r="AH103" s="32"/>
      <c r="AI103" s="32"/>
      <c r="AJ103" s="32"/>
      <c r="AK103" s="32"/>
      <c r="AL103" s="32"/>
      <c r="AM103" s="32"/>
      <c r="AN103" s="32"/>
      <c r="AO103" s="32"/>
      <c r="AP103" s="32"/>
      <c r="AQ103" s="32"/>
      <c r="AR103" s="33"/>
      <c r="AS103" s="34"/>
      <c r="AT103" s="34"/>
      <c r="AU103" s="34"/>
      <c r="AV103" s="34"/>
      <c r="AW103" s="34"/>
      <c r="AX103" s="34"/>
      <c r="AY103" s="34"/>
      <c r="AZ103" s="35"/>
      <c r="BA103" s="36"/>
    </row>
    <row r="104" spans="1:53" s="53" customFormat="1" ht="21.75" customHeight="1">
      <c r="A104" s="121"/>
      <c r="B104" s="130"/>
      <c r="C104" s="118"/>
      <c r="D104" s="133"/>
      <c r="E104" s="17" t="s">
        <v>58</v>
      </c>
      <c r="F104" s="96">
        <f t="shared" si="30"/>
        <v>0</v>
      </c>
      <c r="G104" s="14">
        <v>0</v>
      </c>
      <c r="H104" s="13">
        <v>0</v>
      </c>
      <c r="I104" s="14">
        <v>0</v>
      </c>
      <c r="J104" s="14">
        <v>0</v>
      </c>
      <c r="K104" s="14">
        <v>0</v>
      </c>
      <c r="L104" s="14">
        <v>0</v>
      </c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8"/>
      <c r="AQ104" s="28"/>
      <c r="AR104" s="49"/>
      <c r="AS104" s="50"/>
      <c r="AT104" s="50"/>
      <c r="AU104" s="50"/>
      <c r="AV104" s="50"/>
      <c r="AW104" s="50"/>
      <c r="AX104" s="50"/>
      <c r="AY104" s="50"/>
      <c r="AZ104" s="51"/>
      <c r="BA104" s="52"/>
    </row>
    <row r="105" spans="1:53" s="37" customFormat="1" ht="21.75" customHeight="1">
      <c r="A105" s="119" t="s">
        <v>91</v>
      </c>
      <c r="B105" s="128" t="s">
        <v>117</v>
      </c>
      <c r="C105" s="116" t="s">
        <v>179</v>
      </c>
      <c r="D105" s="131" t="s">
        <v>153</v>
      </c>
      <c r="E105" s="17" t="s">
        <v>47</v>
      </c>
      <c r="F105" s="96">
        <f t="shared" si="30"/>
        <v>46901.338739999992</v>
      </c>
      <c r="G105" s="90">
        <f t="shared" ref="G105:J105" si="41">G106+G108+G109+G110</f>
        <v>5632.3603499999999</v>
      </c>
      <c r="H105" s="90">
        <f t="shared" si="41"/>
        <v>7457.4678999999996</v>
      </c>
      <c r="I105" s="90">
        <f t="shared" si="41"/>
        <v>7735.1854899999998</v>
      </c>
      <c r="J105" s="90">
        <f t="shared" si="41"/>
        <v>8513.2070000000003</v>
      </c>
      <c r="K105" s="90">
        <f t="shared" ref="K105:L105" si="42">K106+K108+K109+K110</f>
        <v>8514.107</v>
      </c>
      <c r="L105" s="90">
        <f t="shared" si="42"/>
        <v>9049.0110000000004</v>
      </c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  <c r="AF105" s="32"/>
      <c r="AG105" s="32"/>
      <c r="AH105" s="32"/>
      <c r="AI105" s="32"/>
      <c r="AJ105" s="32"/>
      <c r="AK105" s="32"/>
      <c r="AL105" s="32"/>
      <c r="AM105" s="32"/>
      <c r="AN105" s="32"/>
      <c r="AO105" s="32"/>
      <c r="AP105" s="32"/>
      <c r="AQ105" s="32"/>
      <c r="AR105" s="33"/>
      <c r="AS105" s="34"/>
      <c r="AT105" s="34"/>
      <c r="AU105" s="34"/>
      <c r="AV105" s="34"/>
      <c r="AW105" s="34"/>
      <c r="AX105" s="34"/>
      <c r="AY105" s="34"/>
      <c r="AZ105" s="35"/>
      <c r="BA105" s="36"/>
    </row>
    <row r="106" spans="1:53" s="37" customFormat="1" ht="21.75" customHeight="1">
      <c r="A106" s="120"/>
      <c r="B106" s="129"/>
      <c r="C106" s="117"/>
      <c r="D106" s="132"/>
      <c r="E106" s="17" t="s">
        <v>55</v>
      </c>
      <c r="F106" s="96">
        <f t="shared" si="30"/>
        <v>0</v>
      </c>
      <c r="G106" s="14">
        <v>0</v>
      </c>
      <c r="H106" s="14">
        <v>0</v>
      </c>
      <c r="I106" s="14">
        <v>0</v>
      </c>
      <c r="J106" s="14">
        <v>0</v>
      </c>
      <c r="K106" s="14">
        <v>0</v>
      </c>
      <c r="L106" s="14">
        <v>0</v>
      </c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  <c r="AQ106" s="32"/>
      <c r="AR106" s="33"/>
      <c r="AS106" s="34"/>
      <c r="AT106" s="34"/>
      <c r="AU106" s="34"/>
      <c r="AV106" s="34"/>
      <c r="AW106" s="34"/>
      <c r="AX106" s="34"/>
      <c r="AY106" s="34"/>
      <c r="AZ106" s="35"/>
      <c r="BA106" s="36"/>
    </row>
    <row r="107" spans="1:53" s="37" customFormat="1" ht="27" customHeight="1">
      <c r="A107" s="120"/>
      <c r="B107" s="129"/>
      <c r="C107" s="117"/>
      <c r="D107" s="132"/>
      <c r="E107" s="21" t="s">
        <v>166</v>
      </c>
      <c r="F107" s="96">
        <f t="shared" si="30"/>
        <v>0</v>
      </c>
      <c r="G107" s="14">
        <v>0</v>
      </c>
      <c r="H107" s="14">
        <v>0</v>
      </c>
      <c r="I107" s="14">
        <v>0</v>
      </c>
      <c r="J107" s="14">
        <v>0</v>
      </c>
      <c r="K107" s="14">
        <v>0</v>
      </c>
      <c r="L107" s="14">
        <v>0</v>
      </c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  <c r="AF107" s="32"/>
      <c r="AG107" s="32"/>
      <c r="AH107" s="32"/>
      <c r="AI107" s="32"/>
      <c r="AJ107" s="32"/>
      <c r="AK107" s="32"/>
      <c r="AL107" s="32"/>
      <c r="AM107" s="32"/>
      <c r="AN107" s="32"/>
      <c r="AO107" s="32"/>
      <c r="AP107" s="32"/>
      <c r="AQ107" s="32"/>
      <c r="AR107" s="33"/>
      <c r="AS107" s="34"/>
      <c r="AT107" s="34"/>
      <c r="AU107" s="34"/>
      <c r="AV107" s="34"/>
      <c r="AW107" s="34"/>
      <c r="AX107" s="34"/>
      <c r="AY107" s="34"/>
      <c r="AZ107" s="35"/>
      <c r="BA107" s="36"/>
    </row>
    <row r="108" spans="1:53" s="37" customFormat="1" ht="21.75" customHeight="1">
      <c r="A108" s="120"/>
      <c r="B108" s="129"/>
      <c r="C108" s="117"/>
      <c r="D108" s="132"/>
      <c r="E108" s="17" t="s">
        <v>56</v>
      </c>
      <c r="F108" s="96">
        <f t="shared" si="30"/>
        <v>0</v>
      </c>
      <c r="G108" s="14">
        <v>0</v>
      </c>
      <c r="H108" s="14">
        <v>0</v>
      </c>
      <c r="I108" s="14">
        <v>0</v>
      </c>
      <c r="J108" s="14">
        <v>0</v>
      </c>
      <c r="K108" s="14">
        <v>0</v>
      </c>
      <c r="L108" s="14">
        <v>0</v>
      </c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  <c r="AF108" s="32"/>
      <c r="AG108" s="32"/>
      <c r="AH108" s="32"/>
      <c r="AI108" s="32"/>
      <c r="AJ108" s="32"/>
      <c r="AK108" s="32"/>
      <c r="AL108" s="32"/>
      <c r="AM108" s="32"/>
      <c r="AN108" s="32"/>
      <c r="AO108" s="32"/>
      <c r="AP108" s="32"/>
      <c r="AQ108" s="32"/>
      <c r="AR108" s="33"/>
      <c r="AS108" s="34"/>
      <c r="AT108" s="34"/>
      <c r="AU108" s="34"/>
      <c r="AV108" s="34"/>
      <c r="AW108" s="34"/>
      <c r="AX108" s="34"/>
      <c r="AY108" s="34"/>
      <c r="AZ108" s="35"/>
      <c r="BA108" s="36"/>
    </row>
    <row r="109" spans="1:53" s="37" customFormat="1" ht="21.75" customHeight="1">
      <c r="A109" s="120"/>
      <c r="B109" s="129"/>
      <c r="C109" s="117"/>
      <c r="D109" s="132"/>
      <c r="E109" s="17" t="s">
        <v>57</v>
      </c>
      <c r="F109" s="96">
        <f t="shared" si="30"/>
        <v>46901.338739999992</v>
      </c>
      <c r="G109" s="15">
        <f>5483.835+228.516-79.99065</f>
        <v>5632.3603499999999</v>
      </c>
      <c r="H109" s="14">
        <f>7153.4679+159.8+126.7+17.5</f>
        <v>7457.4678999999996</v>
      </c>
      <c r="I109" s="14">
        <f>7736.037-0.85151</f>
        <v>7735.1854899999998</v>
      </c>
      <c r="J109" s="14">
        <f>8499.599+13.608</f>
        <v>8513.2070000000003</v>
      </c>
      <c r="K109" s="14">
        <v>8514.107</v>
      </c>
      <c r="L109" s="14">
        <v>9049.0110000000004</v>
      </c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  <c r="AF109" s="32"/>
      <c r="AG109" s="32"/>
      <c r="AH109" s="32"/>
      <c r="AI109" s="32"/>
      <c r="AJ109" s="32"/>
      <c r="AK109" s="32"/>
      <c r="AL109" s="32"/>
      <c r="AM109" s="32"/>
      <c r="AN109" s="32"/>
      <c r="AO109" s="32"/>
      <c r="AP109" s="32"/>
      <c r="AQ109" s="32"/>
      <c r="AR109" s="33"/>
      <c r="AS109" s="34"/>
      <c r="AT109" s="34"/>
      <c r="AU109" s="34"/>
      <c r="AV109" s="34"/>
      <c r="AW109" s="34"/>
      <c r="AX109" s="34"/>
      <c r="AY109" s="34"/>
      <c r="AZ109" s="35"/>
      <c r="BA109" s="36"/>
    </row>
    <row r="110" spans="1:53" s="53" customFormat="1" ht="21.75" customHeight="1">
      <c r="A110" s="121"/>
      <c r="B110" s="130"/>
      <c r="C110" s="118"/>
      <c r="D110" s="133"/>
      <c r="E110" s="17" t="s">
        <v>58</v>
      </c>
      <c r="F110" s="96">
        <f t="shared" si="30"/>
        <v>0</v>
      </c>
      <c r="G110" s="14">
        <v>0</v>
      </c>
      <c r="H110" s="13">
        <v>0</v>
      </c>
      <c r="I110" s="14">
        <v>0</v>
      </c>
      <c r="J110" s="14">
        <v>0</v>
      </c>
      <c r="K110" s="14">
        <v>0</v>
      </c>
      <c r="L110" s="14">
        <v>0</v>
      </c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49"/>
      <c r="AS110" s="50"/>
      <c r="AT110" s="50"/>
      <c r="AU110" s="50"/>
      <c r="AV110" s="50"/>
      <c r="AW110" s="50"/>
      <c r="AX110" s="50"/>
      <c r="AY110" s="50"/>
      <c r="AZ110" s="51"/>
      <c r="BA110" s="52"/>
    </row>
    <row r="111" spans="1:53" s="53" customFormat="1" ht="21.75" customHeight="1">
      <c r="A111" s="134" t="s">
        <v>122</v>
      </c>
      <c r="B111" s="128" t="s">
        <v>123</v>
      </c>
      <c r="C111" s="116" t="s">
        <v>133</v>
      </c>
      <c r="D111" s="131" t="s">
        <v>167</v>
      </c>
      <c r="E111" s="17" t="s">
        <v>47</v>
      </c>
      <c r="F111" s="96">
        <f t="shared" ref="F111:F142" si="43">G111+H111+I111+J111+K111+L111</f>
        <v>583</v>
      </c>
      <c r="G111" s="93">
        <f t="shared" ref="G111" si="44">SUM(G112:G116)</f>
        <v>206.99999999999997</v>
      </c>
      <c r="H111" s="93">
        <f>SUM(H112:H116)</f>
        <v>376</v>
      </c>
      <c r="I111" s="93">
        <f t="shared" ref="I111:J111" si="45">SUM(I112:I116)</f>
        <v>0</v>
      </c>
      <c r="J111" s="93">
        <f t="shared" si="45"/>
        <v>0</v>
      </c>
      <c r="K111" s="93">
        <f t="shared" ref="K111:L111" si="46">SUM(K112:K116)</f>
        <v>0</v>
      </c>
      <c r="L111" s="93">
        <f t="shared" si="46"/>
        <v>0</v>
      </c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49"/>
      <c r="AS111" s="50"/>
      <c r="AT111" s="50"/>
      <c r="AU111" s="50"/>
      <c r="AV111" s="50"/>
      <c r="AW111" s="50"/>
      <c r="AX111" s="50"/>
      <c r="AY111" s="50"/>
      <c r="AZ111" s="51"/>
      <c r="BA111" s="52"/>
    </row>
    <row r="112" spans="1:53" s="53" customFormat="1" ht="21.75" customHeight="1">
      <c r="A112" s="120"/>
      <c r="B112" s="129"/>
      <c r="C112" s="117"/>
      <c r="D112" s="132"/>
      <c r="E112" s="17" t="s">
        <v>55</v>
      </c>
      <c r="F112" s="96">
        <f t="shared" si="43"/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8"/>
      <c r="AQ112" s="28"/>
      <c r="AR112" s="49"/>
      <c r="AS112" s="50"/>
      <c r="AT112" s="50"/>
      <c r="AU112" s="50"/>
      <c r="AV112" s="50"/>
      <c r="AW112" s="50"/>
      <c r="AX112" s="50"/>
      <c r="AY112" s="50"/>
      <c r="AZ112" s="51"/>
      <c r="BA112" s="52"/>
    </row>
    <row r="113" spans="1:53" s="53" customFormat="1" ht="27" customHeight="1">
      <c r="A113" s="120"/>
      <c r="B113" s="129"/>
      <c r="C113" s="117"/>
      <c r="D113" s="132"/>
      <c r="E113" s="21" t="s">
        <v>166</v>
      </c>
      <c r="F113" s="96">
        <f t="shared" si="43"/>
        <v>0</v>
      </c>
      <c r="G113" s="14">
        <v>0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49"/>
      <c r="AS113" s="50"/>
      <c r="AT113" s="50"/>
      <c r="AU113" s="50"/>
      <c r="AV113" s="50"/>
      <c r="AW113" s="50"/>
      <c r="AX113" s="50"/>
      <c r="AY113" s="50"/>
      <c r="AZ113" s="51"/>
      <c r="BA113" s="52"/>
    </row>
    <row r="114" spans="1:53" s="53" customFormat="1" ht="21.75" customHeight="1">
      <c r="A114" s="120"/>
      <c r="B114" s="129"/>
      <c r="C114" s="117"/>
      <c r="D114" s="132"/>
      <c r="E114" s="17" t="s">
        <v>56</v>
      </c>
      <c r="F114" s="96">
        <f t="shared" si="43"/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49"/>
      <c r="AS114" s="50"/>
      <c r="AT114" s="50"/>
      <c r="AU114" s="50"/>
      <c r="AV114" s="50"/>
      <c r="AW114" s="50"/>
      <c r="AX114" s="50"/>
      <c r="AY114" s="50"/>
      <c r="AZ114" s="51"/>
      <c r="BA114" s="52"/>
    </row>
    <row r="115" spans="1:53" s="53" customFormat="1" ht="21.75" customHeight="1">
      <c r="A115" s="120"/>
      <c r="B115" s="129"/>
      <c r="C115" s="117"/>
      <c r="D115" s="132"/>
      <c r="E115" s="17" t="s">
        <v>57</v>
      </c>
      <c r="F115" s="96">
        <f t="shared" si="43"/>
        <v>583</v>
      </c>
      <c r="G115" s="15">
        <f>458.215-251.215</f>
        <v>206.99999999999997</v>
      </c>
      <c r="H115" s="14">
        <f>280+84+12</f>
        <v>376</v>
      </c>
      <c r="I115" s="14"/>
      <c r="J115" s="14">
        <v>0</v>
      </c>
      <c r="K115" s="14">
        <v>0</v>
      </c>
      <c r="L115" s="14">
        <v>0</v>
      </c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49"/>
      <c r="AS115" s="50"/>
      <c r="AT115" s="50"/>
      <c r="AU115" s="50"/>
      <c r="AV115" s="50"/>
      <c r="AW115" s="50"/>
      <c r="AX115" s="50"/>
      <c r="AY115" s="50"/>
      <c r="AZ115" s="51"/>
      <c r="BA115" s="52"/>
    </row>
    <row r="116" spans="1:53" s="53" customFormat="1" ht="21.75" customHeight="1">
      <c r="A116" s="121"/>
      <c r="B116" s="130"/>
      <c r="C116" s="118"/>
      <c r="D116" s="133"/>
      <c r="E116" s="17" t="s">
        <v>58</v>
      </c>
      <c r="F116" s="96">
        <f t="shared" si="43"/>
        <v>0</v>
      </c>
      <c r="G116" s="14">
        <v>0</v>
      </c>
      <c r="H116" s="14">
        <v>0</v>
      </c>
      <c r="I116" s="14">
        <v>0</v>
      </c>
      <c r="J116" s="14">
        <v>0</v>
      </c>
      <c r="K116" s="14">
        <v>0</v>
      </c>
      <c r="L116" s="14">
        <v>0</v>
      </c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28"/>
      <c r="AQ116" s="28"/>
      <c r="AR116" s="49"/>
      <c r="AS116" s="50"/>
      <c r="AT116" s="50"/>
      <c r="AU116" s="50"/>
      <c r="AV116" s="50"/>
      <c r="AW116" s="50"/>
      <c r="AX116" s="50"/>
      <c r="AY116" s="50"/>
      <c r="AZ116" s="51"/>
      <c r="BA116" s="52"/>
    </row>
    <row r="117" spans="1:53" s="53" customFormat="1" ht="21.75" customHeight="1">
      <c r="A117" s="134" t="s">
        <v>169</v>
      </c>
      <c r="B117" s="128" t="s">
        <v>170</v>
      </c>
      <c r="C117" s="116">
        <v>2024</v>
      </c>
      <c r="D117" s="131" t="s">
        <v>153</v>
      </c>
      <c r="E117" s="17" t="s">
        <v>47</v>
      </c>
      <c r="F117" s="96">
        <f t="shared" si="43"/>
        <v>882.88288</v>
      </c>
      <c r="G117" s="93">
        <f t="shared" ref="G117" si="47">SUM(G118:G122)</f>
        <v>0</v>
      </c>
      <c r="H117" s="93">
        <f>SUM(H118:H122)</f>
        <v>0</v>
      </c>
      <c r="I117" s="93">
        <f t="shared" ref="I117:L117" si="48">SUM(I118:I122)</f>
        <v>882.88288</v>
      </c>
      <c r="J117" s="93">
        <f t="shared" si="48"/>
        <v>0</v>
      </c>
      <c r="K117" s="93">
        <f t="shared" si="48"/>
        <v>0</v>
      </c>
      <c r="L117" s="93">
        <f t="shared" si="48"/>
        <v>0</v>
      </c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49"/>
      <c r="AS117" s="50"/>
      <c r="AT117" s="50"/>
      <c r="AU117" s="50"/>
      <c r="AV117" s="50"/>
      <c r="AW117" s="50"/>
      <c r="AX117" s="50"/>
      <c r="AY117" s="50"/>
      <c r="AZ117" s="51"/>
      <c r="BA117" s="52"/>
    </row>
    <row r="118" spans="1:53" s="53" customFormat="1" ht="21.75" customHeight="1">
      <c r="A118" s="120"/>
      <c r="B118" s="129"/>
      <c r="C118" s="117"/>
      <c r="D118" s="132"/>
      <c r="E118" s="17" t="s">
        <v>55</v>
      </c>
      <c r="F118" s="96">
        <f t="shared" si="43"/>
        <v>837.9</v>
      </c>
      <c r="G118" s="14">
        <v>0</v>
      </c>
      <c r="H118" s="14">
        <v>0</v>
      </c>
      <c r="I118" s="14">
        <v>837.9</v>
      </c>
      <c r="J118" s="14"/>
      <c r="K118" s="14">
        <v>0</v>
      </c>
      <c r="L118" s="14">
        <v>0</v>
      </c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49"/>
      <c r="AS118" s="50"/>
      <c r="AT118" s="50"/>
      <c r="AU118" s="50"/>
      <c r="AV118" s="50"/>
      <c r="AW118" s="50"/>
      <c r="AX118" s="50"/>
      <c r="AY118" s="50"/>
      <c r="AZ118" s="51"/>
      <c r="BA118" s="52"/>
    </row>
    <row r="119" spans="1:53" s="53" customFormat="1" ht="27.75" customHeight="1">
      <c r="A119" s="120"/>
      <c r="B119" s="129"/>
      <c r="C119" s="117"/>
      <c r="D119" s="132"/>
      <c r="E119" s="21" t="s">
        <v>166</v>
      </c>
      <c r="F119" s="96">
        <f t="shared" si="43"/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8"/>
      <c r="AI119" s="28"/>
      <c r="AJ119" s="28"/>
      <c r="AK119" s="28"/>
      <c r="AL119" s="28"/>
      <c r="AM119" s="28"/>
      <c r="AN119" s="28"/>
      <c r="AO119" s="28"/>
      <c r="AP119" s="28"/>
      <c r="AQ119" s="28"/>
      <c r="AR119" s="49"/>
      <c r="AS119" s="50"/>
      <c r="AT119" s="50"/>
      <c r="AU119" s="50"/>
      <c r="AV119" s="50"/>
      <c r="AW119" s="50"/>
      <c r="AX119" s="50"/>
      <c r="AY119" s="50"/>
      <c r="AZ119" s="51"/>
      <c r="BA119" s="52"/>
    </row>
    <row r="120" spans="1:53" s="53" customFormat="1" ht="21.75" customHeight="1">
      <c r="A120" s="120"/>
      <c r="B120" s="129"/>
      <c r="C120" s="117"/>
      <c r="D120" s="132"/>
      <c r="E120" s="17" t="s">
        <v>56</v>
      </c>
      <c r="F120" s="96">
        <f t="shared" si="43"/>
        <v>44.1</v>
      </c>
      <c r="G120" s="14">
        <v>0</v>
      </c>
      <c r="H120" s="14">
        <v>0</v>
      </c>
      <c r="I120" s="14">
        <v>44.1</v>
      </c>
      <c r="J120" s="14"/>
      <c r="K120" s="14">
        <v>0</v>
      </c>
      <c r="L120" s="14">
        <v>0</v>
      </c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8"/>
      <c r="AQ120" s="28"/>
      <c r="AR120" s="49"/>
      <c r="AS120" s="50"/>
      <c r="AT120" s="50"/>
      <c r="AU120" s="50"/>
      <c r="AV120" s="50"/>
      <c r="AW120" s="50"/>
      <c r="AX120" s="50"/>
      <c r="AY120" s="50"/>
      <c r="AZ120" s="51"/>
      <c r="BA120" s="52"/>
    </row>
    <row r="121" spans="1:53" s="53" customFormat="1" ht="21.75" customHeight="1">
      <c r="A121" s="120"/>
      <c r="B121" s="129"/>
      <c r="C121" s="117"/>
      <c r="D121" s="132"/>
      <c r="E121" s="17" t="s">
        <v>57</v>
      </c>
      <c r="F121" s="96">
        <f t="shared" si="43"/>
        <v>0.88288</v>
      </c>
      <c r="G121" s="14">
        <v>0</v>
      </c>
      <c r="H121" s="15">
        <v>0</v>
      </c>
      <c r="I121" s="14">
        <v>0.88288</v>
      </c>
      <c r="J121" s="14"/>
      <c r="K121" s="14">
        <v>0</v>
      </c>
      <c r="L121" s="14">
        <v>0</v>
      </c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49"/>
      <c r="AS121" s="50"/>
      <c r="AT121" s="50"/>
      <c r="AU121" s="50"/>
      <c r="AV121" s="50"/>
      <c r="AW121" s="50"/>
      <c r="AX121" s="50"/>
      <c r="AY121" s="50"/>
      <c r="AZ121" s="51"/>
      <c r="BA121" s="52"/>
    </row>
    <row r="122" spans="1:53" s="53" customFormat="1" ht="21.75" customHeight="1">
      <c r="A122" s="121"/>
      <c r="B122" s="130"/>
      <c r="C122" s="118"/>
      <c r="D122" s="133"/>
      <c r="E122" s="17" t="s">
        <v>58</v>
      </c>
      <c r="F122" s="96">
        <f t="shared" si="43"/>
        <v>0</v>
      </c>
      <c r="G122" s="14">
        <v>0</v>
      </c>
      <c r="H122" s="14">
        <v>0</v>
      </c>
      <c r="I122" s="14">
        <v>0</v>
      </c>
      <c r="J122" s="14">
        <v>0</v>
      </c>
      <c r="K122" s="14">
        <v>0</v>
      </c>
      <c r="L122" s="14">
        <v>0</v>
      </c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49"/>
      <c r="AS122" s="50"/>
      <c r="AT122" s="50"/>
      <c r="AU122" s="50"/>
      <c r="AV122" s="50"/>
      <c r="AW122" s="50"/>
      <c r="AX122" s="50"/>
      <c r="AY122" s="50"/>
      <c r="AZ122" s="51"/>
      <c r="BA122" s="52"/>
    </row>
    <row r="123" spans="1:53" s="37" customFormat="1" ht="21.75" customHeight="1">
      <c r="A123" s="122" t="s">
        <v>67</v>
      </c>
      <c r="B123" s="122" t="s">
        <v>83</v>
      </c>
      <c r="C123" s="116" t="s">
        <v>179</v>
      </c>
      <c r="D123" s="122" t="s">
        <v>148</v>
      </c>
      <c r="E123" s="22" t="s">
        <v>47</v>
      </c>
      <c r="F123" s="96">
        <f t="shared" si="43"/>
        <v>436118.87276999996</v>
      </c>
      <c r="G123" s="90">
        <f>G129+G135+G141+G147+G159+G165+G171+G177+G183+G189</f>
        <v>62561.963919999995</v>
      </c>
      <c r="H123" s="90">
        <f t="shared" ref="H123:L123" si="49">H129+H135+H141+H147+H159+H165+H171+H177+H183+H189</f>
        <v>74257.347369999989</v>
      </c>
      <c r="I123" s="90">
        <f t="shared" si="49"/>
        <v>73908.138609999995</v>
      </c>
      <c r="J123" s="90">
        <f t="shared" si="49"/>
        <v>77594.03469</v>
      </c>
      <c r="K123" s="92">
        <f t="shared" si="49"/>
        <v>73009.583379999982</v>
      </c>
      <c r="L123" s="92">
        <f t="shared" si="49"/>
        <v>74787.804799999998</v>
      </c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F123" s="32"/>
      <c r="AG123" s="32"/>
      <c r="AH123" s="32"/>
      <c r="AI123" s="32"/>
      <c r="AJ123" s="32"/>
      <c r="AK123" s="32"/>
      <c r="AL123" s="32"/>
      <c r="AM123" s="32"/>
      <c r="AN123" s="32"/>
      <c r="AO123" s="32"/>
      <c r="AP123" s="32"/>
      <c r="AQ123" s="32"/>
      <c r="AR123" s="33"/>
      <c r="AS123" s="34"/>
      <c r="AT123" s="34"/>
      <c r="AU123" s="34"/>
      <c r="AV123" s="34"/>
      <c r="AW123" s="34"/>
      <c r="AX123" s="34"/>
      <c r="AY123" s="34"/>
      <c r="AZ123" s="35"/>
      <c r="BA123" s="36"/>
    </row>
    <row r="124" spans="1:53" s="37" customFormat="1" ht="21.75" customHeight="1">
      <c r="A124" s="123"/>
      <c r="B124" s="123"/>
      <c r="C124" s="117"/>
      <c r="D124" s="123"/>
      <c r="E124" s="22" t="s">
        <v>55</v>
      </c>
      <c r="F124" s="96">
        <f t="shared" si="43"/>
        <v>6900.0649199999998</v>
      </c>
      <c r="G124" s="90">
        <f>G130+G136+G142+G148+G160+G166+G172+G178</f>
        <v>335.34931</v>
      </c>
      <c r="H124" s="90">
        <f>H130+H136+H142+H148+H160+H166+H172+H178+H184+H190</f>
        <v>5342.30332</v>
      </c>
      <c r="I124" s="90">
        <f>I160+I166+I172+I130+I136+I142+I148+I178+I184+I190</f>
        <v>305.15024</v>
      </c>
      <c r="J124" s="90">
        <f>J130+J136+J142+J148++J160+J166+J172+J178+J184+J190</f>
        <v>306.07243999999997</v>
      </c>
      <c r="K124" s="92">
        <f>K130+K136+K142+K148+K160+K166+K172+K178</f>
        <v>300.02109999999999</v>
      </c>
      <c r="L124" s="92">
        <f>L130+L136+L142+L148+L160+L166+L172+L178+L184+L190</f>
        <v>311.16851000000003</v>
      </c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  <c r="AF124" s="32"/>
      <c r="AG124" s="32"/>
      <c r="AH124" s="32"/>
      <c r="AI124" s="32"/>
      <c r="AJ124" s="32"/>
      <c r="AK124" s="32"/>
      <c r="AL124" s="32"/>
      <c r="AM124" s="32"/>
      <c r="AN124" s="32"/>
      <c r="AO124" s="32"/>
      <c r="AP124" s="32"/>
      <c r="AQ124" s="32"/>
      <c r="AR124" s="33"/>
      <c r="AS124" s="34"/>
      <c r="AT124" s="34"/>
      <c r="AU124" s="34"/>
      <c r="AV124" s="34"/>
      <c r="AW124" s="34"/>
      <c r="AX124" s="34"/>
      <c r="AY124" s="34"/>
      <c r="AZ124" s="35"/>
      <c r="BA124" s="36"/>
    </row>
    <row r="125" spans="1:53" s="37" customFormat="1" ht="28.5" customHeight="1">
      <c r="A125" s="123"/>
      <c r="B125" s="123"/>
      <c r="C125" s="117"/>
      <c r="D125" s="123"/>
      <c r="E125" s="21" t="s">
        <v>166</v>
      </c>
      <c r="F125" s="96">
        <f t="shared" si="43"/>
        <v>0</v>
      </c>
      <c r="G125" s="90">
        <v>0</v>
      </c>
      <c r="H125" s="90">
        <v>0</v>
      </c>
      <c r="I125" s="90">
        <v>0</v>
      </c>
      <c r="J125" s="90">
        <v>0</v>
      </c>
      <c r="K125" s="90">
        <v>0</v>
      </c>
      <c r="L125" s="90">
        <v>0</v>
      </c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F125" s="32"/>
      <c r="AG125" s="32"/>
      <c r="AH125" s="32"/>
      <c r="AI125" s="32"/>
      <c r="AJ125" s="32"/>
      <c r="AK125" s="32"/>
      <c r="AL125" s="32"/>
      <c r="AM125" s="32"/>
      <c r="AN125" s="32"/>
      <c r="AO125" s="32"/>
      <c r="AP125" s="32"/>
      <c r="AQ125" s="32"/>
      <c r="AR125" s="33"/>
      <c r="AS125" s="34"/>
      <c r="AT125" s="34"/>
      <c r="AU125" s="34"/>
      <c r="AV125" s="34"/>
      <c r="AW125" s="34"/>
      <c r="AX125" s="34"/>
      <c r="AY125" s="34"/>
      <c r="AZ125" s="35"/>
      <c r="BA125" s="36"/>
    </row>
    <row r="126" spans="1:53" s="37" customFormat="1" ht="21.75" customHeight="1">
      <c r="A126" s="123"/>
      <c r="B126" s="123"/>
      <c r="C126" s="117"/>
      <c r="D126" s="123"/>
      <c r="E126" s="22" t="s">
        <v>56</v>
      </c>
      <c r="F126" s="96">
        <f t="shared" si="43"/>
        <v>110.40711</v>
      </c>
      <c r="G126" s="90">
        <f>G132+G138+G144+G150+G162+G168+G174+G180</f>
        <v>17.64996</v>
      </c>
      <c r="H126" s="90">
        <f>H132+H138+H144+H150+H162+H168+H174+H180+H186+H192</f>
        <v>18.01596</v>
      </c>
      <c r="I126" s="90">
        <f>I162+I168+I174+I132+I180</f>
        <v>16.06054</v>
      </c>
      <c r="J126" s="90">
        <f>J132+J138+J144+J150+J162+J168+J174+J180+J186+J192</f>
        <v>16.109080000000002</v>
      </c>
      <c r="K126" s="92">
        <f>K132+K138+K150+K162+K168+K174+K180+K186+K192</f>
        <v>19.150279999999999</v>
      </c>
      <c r="L126" s="92">
        <f>L132+L138+L144+L150+L162+L168+L174+L180+L186+L192</f>
        <v>23.421289999999999</v>
      </c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3"/>
      <c r="AS126" s="34"/>
      <c r="AT126" s="34"/>
      <c r="AU126" s="34"/>
      <c r="AV126" s="34"/>
      <c r="AW126" s="34"/>
      <c r="AX126" s="34"/>
      <c r="AY126" s="34"/>
      <c r="AZ126" s="35"/>
      <c r="BA126" s="36"/>
    </row>
    <row r="127" spans="1:53" s="37" customFormat="1" ht="21.75" customHeight="1">
      <c r="A127" s="123"/>
      <c r="B127" s="123"/>
      <c r="C127" s="117"/>
      <c r="D127" s="123"/>
      <c r="E127" s="22" t="s">
        <v>57</v>
      </c>
      <c r="F127" s="96">
        <f t="shared" si="43"/>
        <v>429108.40073999995</v>
      </c>
      <c r="G127" s="90">
        <f>G133+G139+G145+G151+G163+G169+G175+G181+G187+G193</f>
        <v>62208.964649999994</v>
      </c>
      <c r="H127" s="90">
        <f>H133+H139+H145+H151+H163+H169+H175+H181+H187+H193</f>
        <v>68897.028089999993</v>
      </c>
      <c r="I127" s="90">
        <f>I133+I139+I145+I151+I163+I169+I175+I181+I187</f>
        <v>73586.927830000001</v>
      </c>
      <c r="J127" s="90">
        <f>J133+J139+J145+J151+J163+J169+J175+J181+J187+J193</f>
        <v>77271.853170000002</v>
      </c>
      <c r="K127" s="92">
        <f>K133+K139+K145+K151+K163+K169+K175+K181+K187+K193</f>
        <v>72690.411999999982</v>
      </c>
      <c r="L127" s="92">
        <f>L133+L139+L145+L151+L163+L169+L175+L181+L187+L193</f>
        <v>74453.214999999997</v>
      </c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F127" s="32"/>
      <c r="AG127" s="32"/>
      <c r="AH127" s="32"/>
      <c r="AI127" s="32"/>
      <c r="AJ127" s="32"/>
      <c r="AK127" s="32"/>
      <c r="AL127" s="32"/>
      <c r="AM127" s="32"/>
      <c r="AN127" s="32"/>
      <c r="AO127" s="32"/>
      <c r="AP127" s="32"/>
      <c r="AQ127" s="32"/>
      <c r="AR127" s="33"/>
      <c r="AS127" s="34"/>
      <c r="AT127" s="34"/>
      <c r="AU127" s="34"/>
      <c r="AV127" s="34"/>
      <c r="AW127" s="34"/>
      <c r="AX127" s="34"/>
      <c r="AY127" s="34"/>
      <c r="AZ127" s="35"/>
      <c r="BA127" s="36"/>
    </row>
    <row r="128" spans="1:53" s="53" customFormat="1" ht="21.75" customHeight="1">
      <c r="A128" s="124"/>
      <c r="B128" s="124"/>
      <c r="C128" s="118"/>
      <c r="D128" s="124"/>
      <c r="E128" s="22" t="s">
        <v>58</v>
      </c>
      <c r="F128" s="96">
        <f t="shared" si="43"/>
        <v>0</v>
      </c>
      <c r="G128" s="90">
        <f>G134+G140+G146+G152+G164+G170+G176+G182</f>
        <v>0</v>
      </c>
      <c r="H128" s="90">
        <f t="shared" ref="H128:I128" si="50">H164+H170+H176</f>
        <v>0</v>
      </c>
      <c r="I128" s="90">
        <f t="shared" si="50"/>
        <v>0</v>
      </c>
      <c r="J128" s="90">
        <f t="shared" ref="J128:K128" si="51">J164+J170+J176</f>
        <v>0</v>
      </c>
      <c r="K128" s="92">
        <f t="shared" si="51"/>
        <v>0</v>
      </c>
      <c r="L128" s="92">
        <f t="shared" ref="L128" si="52">L164+L170+L176</f>
        <v>0</v>
      </c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49"/>
      <c r="AS128" s="50"/>
      <c r="AT128" s="50"/>
      <c r="AU128" s="50"/>
      <c r="AV128" s="50"/>
      <c r="AW128" s="50"/>
      <c r="AX128" s="50"/>
      <c r="AY128" s="50"/>
      <c r="AZ128" s="51"/>
      <c r="BA128" s="52"/>
    </row>
    <row r="129" spans="1:53" s="37" customFormat="1" ht="21.75" customHeight="1">
      <c r="A129" s="122" t="s">
        <v>68</v>
      </c>
      <c r="B129" s="162" t="s">
        <v>98</v>
      </c>
      <c r="C129" s="116" t="s">
        <v>186</v>
      </c>
      <c r="D129" s="99" t="s">
        <v>154</v>
      </c>
      <c r="E129" s="22" t="s">
        <v>47</v>
      </c>
      <c r="F129" s="96">
        <f t="shared" si="43"/>
        <v>38736.530500000001</v>
      </c>
      <c r="G129" s="90">
        <f t="shared" ref="G129:H129" si="53">G130+G132+G133+G134</f>
        <v>12376.550999999999</v>
      </c>
      <c r="H129" s="90">
        <f t="shared" si="53"/>
        <v>9479.1474999999991</v>
      </c>
      <c r="I129" s="90">
        <f>I130+I132+I133+I134</f>
        <v>8264.33</v>
      </c>
      <c r="J129" s="90">
        <f>J130+J132+J133+J134</f>
        <v>6484.8190000000004</v>
      </c>
      <c r="K129" s="92">
        <f>K130+K132+K133+K134</f>
        <v>2131.683</v>
      </c>
      <c r="L129" s="92">
        <f>L130+L132+L133+L134</f>
        <v>0</v>
      </c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32"/>
      <c r="AI129" s="32"/>
      <c r="AJ129" s="32"/>
      <c r="AK129" s="32"/>
      <c r="AL129" s="32"/>
      <c r="AM129" s="32"/>
      <c r="AN129" s="32"/>
      <c r="AO129" s="32"/>
      <c r="AP129" s="32"/>
      <c r="AQ129" s="32"/>
      <c r="AR129" s="33"/>
      <c r="AS129" s="34"/>
      <c r="AT129" s="34"/>
      <c r="AU129" s="34"/>
      <c r="AV129" s="34"/>
      <c r="AW129" s="34"/>
      <c r="AX129" s="34"/>
      <c r="AY129" s="34"/>
      <c r="AZ129" s="35"/>
      <c r="BA129" s="36"/>
    </row>
    <row r="130" spans="1:53" s="37" customFormat="1" ht="21.75" customHeight="1">
      <c r="A130" s="123"/>
      <c r="B130" s="163"/>
      <c r="C130" s="117"/>
      <c r="D130" s="114"/>
      <c r="E130" s="22" t="s">
        <v>55</v>
      </c>
      <c r="F130" s="96">
        <f t="shared" si="43"/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32"/>
      <c r="AI130" s="32"/>
      <c r="AJ130" s="32"/>
      <c r="AK130" s="32"/>
      <c r="AL130" s="32"/>
      <c r="AM130" s="32"/>
      <c r="AN130" s="32"/>
      <c r="AO130" s="32"/>
      <c r="AP130" s="32"/>
      <c r="AQ130" s="32"/>
      <c r="AR130" s="33"/>
      <c r="AS130" s="34"/>
      <c r="AT130" s="34"/>
      <c r="AU130" s="34"/>
      <c r="AV130" s="34"/>
      <c r="AW130" s="34"/>
      <c r="AX130" s="34"/>
      <c r="AY130" s="34"/>
      <c r="AZ130" s="35"/>
      <c r="BA130" s="36"/>
    </row>
    <row r="131" spans="1:53" s="37" customFormat="1" ht="27" customHeight="1">
      <c r="A131" s="123"/>
      <c r="B131" s="163"/>
      <c r="C131" s="117"/>
      <c r="D131" s="114"/>
      <c r="E131" s="21" t="s">
        <v>166</v>
      </c>
      <c r="F131" s="96">
        <f t="shared" si="43"/>
        <v>0</v>
      </c>
      <c r="G131" s="14">
        <v>0</v>
      </c>
      <c r="H131" s="14">
        <v>0</v>
      </c>
      <c r="I131" s="14">
        <v>0</v>
      </c>
      <c r="J131" s="14">
        <v>0</v>
      </c>
      <c r="K131" s="14">
        <v>0</v>
      </c>
      <c r="L131" s="14">
        <v>0</v>
      </c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32"/>
      <c r="AI131" s="32"/>
      <c r="AJ131" s="32"/>
      <c r="AK131" s="32"/>
      <c r="AL131" s="32"/>
      <c r="AM131" s="32"/>
      <c r="AN131" s="32"/>
      <c r="AO131" s="32"/>
      <c r="AP131" s="32"/>
      <c r="AQ131" s="32"/>
      <c r="AR131" s="33"/>
      <c r="AS131" s="34"/>
      <c r="AT131" s="34"/>
      <c r="AU131" s="34"/>
      <c r="AV131" s="34"/>
      <c r="AW131" s="34"/>
      <c r="AX131" s="34"/>
      <c r="AY131" s="34"/>
      <c r="AZ131" s="35"/>
      <c r="BA131" s="36"/>
    </row>
    <row r="132" spans="1:53" s="37" customFormat="1" ht="21.75" customHeight="1">
      <c r="A132" s="123"/>
      <c r="B132" s="163"/>
      <c r="C132" s="117"/>
      <c r="D132" s="114"/>
      <c r="E132" s="22" t="s">
        <v>56</v>
      </c>
      <c r="F132" s="96">
        <f t="shared" si="43"/>
        <v>0</v>
      </c>
      <c r="G132" s="14">
        <v>0</v>
      </c>
      <c r="H132" s="14">
        <v>0</v>
      </c>
      <c r="I132" s="14">
        <v>0</v>
      </c>
      <c r="J132" s="14">
        <v>0</v>
      </c>
      <c r="K132" s="14">
        <v>0</v>
      </c>
      <c r="L132" s="14">
        <v>0</v>
      </c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32"/>
      <c r="AI132" s="32"/>
      <c r="AJ132" s="32"/>
      <c r="AK132" s="32"/>
      <c r="AL132" s="32"/>
      <c r="AM132" s="32"/>
      <c r="AN132" s="32"/>
      <c r="AO132" s="32"/>
      <c r="AP132" s="32"/>
      <c r="AQ132" s="32"/>
      <c r="AR132" s="33"/>
      <c r="AS132" s="34"/>
      <c r="AT132" s="34"/>
      <c r="AU132" s="34"/>
      <c r="AV132" s="34"/>
      <c r="AW132" s="34"/>
      <c r="AX132" s="34"/>
      <c r="AY132" s="34"/>
      <c r="AZ132" s="35"/>
      <c r="BA132" s="36"/>
    </row>
    <row r="133" spans="1:53" s="37" customFormat="1" ht="21.75" customHeight="1">
      <c r="A133" s="123"/>
      <c r="B133" s="163"/>
      <c r="C133" s="117"/>
      <c r="D133" s="114"/>
      <c r="E133" s="22" t="s">
        <v>57</v>
      </c>
      <c r="F133" s="96">
        <f t="shared" si="43"/>
        <v>38736.530500000001</v>
      </c>
      <c r="G133" s="15">
        <v>12376.550999999999</v>
      </c>
      <c r="H133" s="14">
        <f>9479.1475</f>
        <v>9479.1474999999991</v>
      </c>
      <c r="I133" s="15">
        <f>8264.33</f>
        <v>8264.33</v>
      </c>
      <c r="J133" s="15">
        <f>2895.106+1986.993+1590+12.72</f>
        <v>6484.8190000000004</v>
      </c>
      <c r="K133" s="15">
        <v>2131.683</v>
      </c>
      <c r="L133" s="14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32"/>
      <c r="AJ133" s="32"/>
      <c r="AK133" s="32"/>
      <c r="AL133" s="32"/>
      <c r="AM133" s="32"/>
      <c r="AN133" s="32"/>
      <c r="AO133" s="32"/>
      <c r="AP133" s="32"/>
      <c r="AQ133" s="32"/>
      <c r="AR133" s="33"/>
      <c r="AS133" s="34"/>
      <c r="AT133" s="34"/>
      <c r="AU133" s="34"/>
      <c r="AV133" s="34"/>
      <c r="AW133" s="34"/>
      <c r="AX133" s="34"/>
      <c r="AY133" s="34"/>
      <c r="AZ133" s="35"/>
      <c r="BA133" s="36"/>
    </row>
    <row r="134" spans="1:53" s="53" customFormat="1" ht="39.75" customHeight="1">
      <c r="A134" s="124"/>
      <c r="B134" s="164"/>
      <c r="C134" s="118"/>
      <c r="D134" s="115"/>
      <c r="E134" s="22" t="s">
        <v>58</v>
      </c>
      <c r="F134" s="96">
        <f t="shared" si="43"/>
        <v>0</v>
      </c>
      <c r="G134" s="14">
        <v>0</v>
      </c>
      <c r="H134" s="14">
        <v>0</v>
      </c>
      <c r="I134" s="14">
        <v>0</v>
      </c>
      <c r="J134" s="14">
        <v>0</v>
      </c>
      <c r="K134" s="14">
        <v>0</v>
      </c>
      <c r="L134" s="14">
        <v>0</v>
      </c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  <c r="AH134" s="28"/>
      <c r="AI134" s="28"/>
      <c r="AJ134" s="28"/>
      <c r="AK134" s="28"/>
      <c r="AL134" s="28"/>
      <c r="AM134" s="28"/>
      <c r="AN134" s="28"/>
      <c r="AO134" s="28"/>
      <c r="AP134" s="28"/>
      <c r="AQ134" s="28"/>
      <c r="AR134" s="49"/>
      <c r="AS134" s="50"/>
      <c r="AT134" s="50"/>
      <c r="AU134" s="50"/>
      <c r="AV134" s="50"/>
      <c r="AW134" s="50"/>
      <c r="AX134" s="50"/>
      <c r="AY134" s="50"/>
      <c r="AZ134" s="51"/>
      <c r="BA134" s="52"/>
    </row>
    <row r="135" spans="1:53" s="37" customFormat="1" ht="21.75" customHeight="1">
      <c r="A135" s="122" t="s">
        <v>69</v>
      </c>
      <c r="B135" s="102" t="s">
        <v>163</v>
      </c>
      <c r="C135" s="116" t="s">
        <v>187</v>
      </c>
      <c r="D135" s="99" t="s">
        <v>155</v>
      </c>
      <c r="E135" s="22" t="s">
        <v>47</v>
      </c>
      <c r="F135" s="96">
        <f t="shared" si="43"/>
        <v>1647.75091</v>
      </c>
      <c r="G135" s="90">
        <f t="shared" ref="G135:L135" si="54">G136+G138+G139+G140</f>
        <v>713</v>
      </c>
      <c r="H135" s="90">
        <f t="shared" si="54"/>
        <v>276.60091</v>
      </c>
      <c r="I135" s="90">
        <f t="shared" si="54"/>
        <v>202.15</v>
      </c>
      <c r="J135" s="90">
        <f t="shared" si="54"/>
        <v>214.4</v>
      </c>
      <c r="K135" s="92">
        <f t="shared" si="54"/>
        <v>241.6</v>
      </c>
      <c r="L135" s="92">
        <f t="shared" si="54"/>
        <v>0</v>
      </c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F135" s="32"/>
      <c r="AG135" s="32"/>
      <c r="AH135" s="32"/>
      <c r="AI135" s="32"/>
      <c r="AJ135" s="32"/>
      <c r="AK135" s="32"/>
      <c r="AL135" s="32"/>
      <c r="AM135" s="32"/>
      <c r="AN135" s="32"/>
      <c r="AO135" s="32"/>
      <c r="AP135" s="32"/>
      <c r="AQ135" s="32"/>
      <c r="AR135" s="33"/>
      <c r="AS135" s="34"/>
      <c r="AT135" s="34"/>
      <c r="AU135" s="34"/>
      <c r="AV135" s="34"/>
      <c r="AW135" s="34"/>
      <c r="AX135" s="34"/>
      <c r="AY135" s="34"/>
      <c r="AZ135" s="35"/>
      <c r="BA135" s="36"/>
    </row>
    <row r="136" spans="1:53" s="37" customFormat="1" ht="21.75" customHeight="1">
      <c r="A136" s="123"/>
      <c r="B136" s="125"/>
      <c r="C136" s="117"/>
      <c r="D136" s="114"/>
      <c r="E136" s="22" t="s">
        <v>55</v>
      </c>
      <c r="F136" s="96">
        <f t="shared" si="43"/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F136" s="32"/>
      <c r="AG136" s="32"/>
      <c r="AH136" s="32"/>
      <c r="AI136" s="32"/>
      <c r="AJ136" s="32"/>
      <c r="AK136" s="32"/>
      <c r="AL136" s="32"/>
      <c r="AM136" s="32"/>
      <c r="AN136" s="32"/>
      <c r="AO136" s="32"/>
      <c r="AP136" s="32"/>
      <c r="AQ136" s="32"/>
      <c r="AR136" s="33"/>
      <c r="AS136" s="34"/>
      <c r="AT136" s="34"/>
      <c r="AU136" s="34"/>
      <c r="AV136" s="34"/>
      <c r="AW136" s="34"/>
      <c r="AX136" s="34"/>
      <c r="AY136" s="34"/>
      <c r="AZ136" s="35"/>
      <c r="BA136" s="36"/>
    </row>
    <row r="137" spans="1:53" s="37" customFormat="1" ht="28.5" customHeight="1">
      <c r="A137" s="123"/>
      <c r="B137" s="125"/>
      <c r="C137" s="117"/>
      <c r="D137" s="114"/>
      <c r="E137" s="21" t="s">
        <v>166</v>
      </c>
      <c r="F137" s="96">
        <f t="shared" si="43"/>
        <v>0</v>
      </c>
      <c r="G137" s="14">
        <v>0</v>
      </c>
      <c r="H137" s="14">
        <v>0</v>
      </c>
      <c r="I137" s="14">
        <v>0</v>
      </c>
      <c r="J137" s="14">
        <v>0</v>
      </c>
      <c r="K137" s="14">
        <v>0</v>
      </c>
      <c r="L137" s="14">
        <v>0</v>
      </c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F137" s="32"/>
      <c r="AG137" s="32"/>
      <c r="AH137" s="32"/>
      <c r="AI137" s="32"/>
      <c r="AJ137" s="32"/>
      <c r="AK137" s="32"/>
      <c r="AL137" s="32"/>
      <c r="AM137" s="32"/>
      <c r="AN137" s="32"/>
      <c r="AO137" s="32"/>
      <c r="AP137" s="32"/>
      <c r="AQ137" s="32"/>
      <c r="AR137" s="33"/>
      <c r="AS137" s="34"/>
      <c r="AT137" s="34"/>
      <c r="AU137" s="34"/>
      <c r="AV137" s="34"/>
      <c r="AW137" s="34"/>
      <c r="AX137" s="34"/>
      <c r="AY137" s="34"/>
      <c r="AZ137" s="35"/>
      <c r="BA137" s="36"/>
    </row>
    <row r="138" spans="1:53" s="37" customFormat="1" ht="21.75" customHeight="1">
      <c r="A138" s="123"/>
      <c r="B138" s="125"/>
      <c r="C138" s="117"/>
      <c r="D138" s="114"/>
      <c r="E138" s="22" t="s">
        <v>56</v>
      </c>
      <c r="F138" s="96">
        <f t="shared" si="43"/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F138" s="32"/>
      <c r="AG138" s="32"/>
      <c r="AH138" s="32"/>
      <c r="AI138" s="32"/>
      <c r="AJ138" s="32"/>
      <c r="AK138" s="32"/>
      <c r="AL138" s="32"/>
      <c r="AM138" s="32"/>
      <c r="AN138" s="32"/>
      <c r="AO138" s="32"/>
      <c r="AP138" s="32"/>
      <c r="AQ138" s="32"/>
      <c r="AR138" s="33"/>
      <c r="AS138" s="34"/>
      <c r="AT138" s="34"/>
      <c r="AU138" s="34"/>
      <c r="AV138" s="34"/>
      <c r="AW138" s="34"/>
      <c r="AX138" s="34"/>
      <c r="AY138" s="34"/>
      <c r="AZ138" s="35"/>
      <c r="BA138" s="36"/>
    </row>
    <row r="139" spans="1:53" s="37" customFormat="1" ht="21.75" customHeight="1">
      <c r="A139" s="123"/>
      <c r="B139" s="125"/>
      <c r="C139" s="117"/>
      <c r="D139" s="114"/>
      <c r="E139" s="22" t="s">
        <v>57</v>
      </c>
      <c r="F139" s="96">
        <f t="shared" si="43"/>
        <v>1647.75091</v>
      </c>
      <c r="G139" s="14">
        <v>713</v>
      </c>
      <c r="H139" s="15">
        <f>276.60091</f>
        <v>276.60091</v>
      </c>
      <c r="I139" s="14">
        <f>202.15</f>
        <v>202.15</v>
      </c>
      <c r="J139" s="14">
        <f>241.6-27.2</f>
        <v>214.4</v>
      </c>
      <c r="K139" s="14">
        <v>241.6</v>
      </c>
      <c r="L139" s="14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F139" s="32"/>
      <c r="AG139" s="32"/>
      <c r="AH139" s="32"/>
      <c r="AI139" s="32"/>
      <c r="AJ139" s="32"/>
      <c r="AK139" s="32"/>
      <c r="AL139" s="32"/>
      <c r="AM139" s="32"/>
      <c r="AN139" s="32"/>
      <c r="AO139" s="32"/>
      <c r="AP139" s="32"/>
      <c r="AQ139" s="32"/>
      <c r="AR139" s="33"/>
      <c r="AS139" s="34"/>
      <c r="AT139" s="34"/>
      <c r="AU139" s="34"/>
      <c r="AV139" s="34"/>
      <c r="AW139" s="34"/>
      <c r="AX139" s="34"/>
      <c r="AY139" s="34"/>
      <c r="AZ139" s="35"/>
      <c r="BA139" s="36"/>
    </row>
    <row r="140" spans="1:53" s="53" customFormat="1" ht="27.75" customHeight="1">
      <c r="A140" s="124"/>
      <c r="B140" s="126"/>
      <c r="C140" s="118"/>
      <c r="D140" s="115"/>
      <c r="E140" s="22" t="s">
        <v>58</v>
      </c>
      <c r="F140" s="96">
        <f t="shared" si="43"/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F140" s="28"/>
      <c r="AG140" s="28"/>
      <c r="AH140" s="28"/>
      <c r="AI140" s="28"/>
      <c r="AJ140" s="28"/>
      <c r="AK140" s="28"/>
      <c r="AL140" s="28"/>
      <c r="AM140" s="28"/>
      <c r="AN140" s="28"/>
      <c r="AO140" s="28"/>
      <c r="AP140" s="28"/>
      <c r="AQ140" s="28"/>
      <c r="AR140" s="49"/>
      <c r="AS140" s="50"/>
      <c r="AT140" s="50"/>
      <c r="AU140" s="50"/>
      <c r="AV140" s="50"/>
      <c r="AW140" s="50"/>
      <c r="AX140" s="50"/>
      <c r="AY140" s="50"/>
      <c r="AZ140" s="51"/>
      <c r="BA140" s="52"/>
    </row>
    <row r="141" spans="1:53" s="37" customFormat="1" ht="21.75" customHeight="1">
      <c r="A141" s="122" t="s">
        <v>75</v>
      </c>
      <c r="B141" s="102" t="s">
        <v>100</v>
      </c>
      <c r="C141" s="116" t="s">
        <v>189</v>
      </c>
      <c r="D141" s="99" t="s">
        <v>156</v>
      </c>
      <c r="E141" s="22" t="s">
        <v>47</v>
      </c>
      <c r="F141" s="96">
        <f t="shared" si="43"/>
        <v>1170</v>
      </c>
      <c r="G141" s="90">
        <f>G142+G144+G145+G146</f>
        <v>0</v>
      </c>
      <c r="H141" s="90">
        <f>H142+H144+H145+H146</f>
        <v>0</v>
      </c>
      <c r="I141" s="90">
        <f>I142+I144+I145+I146</f>
        <v>870</v>
      </c>
      <c r="J141" s="90">
        <f>J142+J144+J145+J146</f>
        <v>300</v>
      </c>
      <c r="K141" s="90">
        <f t="shared" ref="K141:L141" si="55">K142+K144+K145+K146</f>
        <v>0</v>
      </c>
      <c r="L141" s="90">
        <f t="shared" si="55"/>
        <v>0</v>
      </c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F141" s="32"/>
      <c r="AG141" s="32"/>
      <c r="AH141" s="32"/>
      <c r="AI141" s="32"/>
      <c r="AJ141" s="32"/>
      <c r="AK141" s="32"/>
      <c r="AL141" s="32"/>
      <c r="AM141" s="32"/>
      <c r="AN141" s="32"/>
      <c r="AO141" s="32"/>
      <c r="AP141" s="32"/>
      <c r="AQ141" s="32"/>
      <c r="AR141" s="33"/>
      <c r="AS141" s="34"/>
      <c r="AT141" s="34"/>
      <c r="AU141" s="34"/>
      <c r="AV141" s="34"/>
      <c r="AW141" s="34"/>
      <c r="AX141" s="34"/>
      <c r="AY141" s="34"/>
      <c r="AZ141" s="35"/>
      <c r="BA141" s="36"/>
    </row>
    <row r="142" spans="1:53" s="37" customFormat="1" ht="21.75" customHeight="1">
      <c r="A142" s="123"/>
      <c r="B142" s="125"/>
      <c r="C142" s="117"/>
      <c r="D142" s="114"/>
      <c r="E142" s="22" t="s">
        <v>55</v>
      </c>
      <c r="F142" s="96">
        <f t="shared" si="43"/>
        <v>0</v>
      </c>
      <c r="G142" s="14">
        <v>0</v>
      </c>
      <c r="H142" s="14">
        <v>0</v>
      </c>
      <c r="I142" s="14">
        <v>0</v>
      </c>
      <c r="J142" s="14">
        <v>0</v>
      </c>
      <c r="K142" s="14">
        <v>0</v>
      </c>
      <c r="L142" s="14">
        <v>0</v>
      </c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F142" s="32"/>
      <c r="AG142" s="32"/>
      <c r="AH142" s="32"/>
      <c r="AI142" s="32"/>
      <c r="AJ142" s="32"/>
      <c r="AK142" s="32"/>
      <c r="AL142" s="32"/>
      <c r="AM142" s="32"/>
      <c r="AN142" s="32"/>
      <c r="AO142" s="32"/>
      <c r="AP142" s="32"/>
      <c r="AQ142" s="32"/>
      <c r="AR142" s="33"/>
      <c r="AS142" s="34"/>
      <c r="AT142" s="34"/>
      <c r="AU142" s="34"/>
      <c r="AV142" s="34"/>
      <c r="AW142" s="34"/>
      <c r="AX142" s="34"/>
      <c r="AY142" s="34"/>
      <c r="AZ142" s="35"/>
      <c r="BA142" s="36"/>
    </row>
    <row r="143" spans="1:53" s="37" customFormat="1" ht="28.5" customHeight="1">
      <c r="A143" s="123"/>
      <c r="B143" s="125"/>
      <c r="C143" s="117"/>
      <c r="D143" s="114"/>
      <c r="E143" s="21" t="s">
        <v>166</v>
      </c>
      <c r="F143" s="96">
        <f t="shared" ref="F143:F152" si="56">G143+H143+I143+J143+K143+L143</f>
        <v>0</v>
      </c>
      <c r="G143" s="14">
        <v>0</v>
      </c>
      <c r="H143" s="14">
        <v>0</v>
      </c>
      <c r="I143" s="14">
        <v>0</v>
      </c>
      <c r="J143" s="14">
        <v>0</v>
      </c>
      <c r="K143" s="14">
        <v>0</v>
      </c>
      <c r="L143" s="14">
        <v>0</v>
      </c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F143" s="32"/>
      <c r="AG143" s="32"/>
      <c r="AH143" s="32"/>
      <c r="AI143" s="32"/>
      <c r="AJ143" s="32"/>
      <c r="AK143" s="32"/>
      <c r="AL143" s="32"/>
      <c r="AM143" s="32"/>
      <c r="AN143" s="32"/>
      <c r="AO143" s="32"/>
      <c r="AP143" s="32"/>
      <c r="AQ143" s="32"/>
      <c r="AR143" s="33"/>
      <c r="AS143" s="34"/>
      <c r="AT143" s="34"/>
      <c r="AU143" s="34"/>
      <c r="AV143" s="34"/>
      <c r="AW143" s="34"/>
      <c r="AX143" s="34"/>
      <c r="AY143" s="34"/>
      <c r="AZ143" s="35"/>
      <c r="BA143" s="36"/>
    </row>
    <row r="144" spans="1:53" s="37" customFormat="1" ht="21.75" customHeight="1">
      <c r="A144" s="123"/>
      <c r="B144" s="125"/>
      <c r="C144" s="117"/>
      <c r="D144" s="114"/>
      <c r="E144" s="22" t="s">
        <v>56</v>
      </c>
      <c r="F144" s="96">
        <f t="shared" si="56"/>
        <v>0</v>
      </c>
      <c r="G144" s="14">
        <v>0</v>
      </c>
      <c r="H144" s="14">
        <v>0</v>
      </c>
      <c r="I144" s="14">
        <v>0</v>
      </c>
      <c r="J144" s="14">
        <v>0</v>
      </c>
      <c r="K144" s="14">
        <v>0</v>
      </c>
      <c r="L144" s="14">
        <v>0</v>
      </c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F144" s="32"/>
      <c r="AG144" s="32"/>
      <c r="AH144" s="32"/>
      <c r="AI144" s="32"/>
      <c r="AJ144" s="32"/>
      <c r="AK144" s="32"/>
      <c r="AL144" s="32"/>
      <c r="AM144" s="32"/>
      <c r="AN144" s="32"/>
      <c r="AO144" s="32"/>
      <c r="AP144" s="32"/>
      <c r="AQ144" s="32"/>
      <c r="AR144" s="33"/>
      <c r="AS144" s="34"/>
      <c r="AT144" s="34"/>
      <c r="AU144" s="34"/>
      <c r="AV144" s="34"/>
      <c r="AW144" s="34"/>
      <c r="AX144" s="34"/>
      <c r="AY144" s="34"/>
      <c r="AZ144" s="35"/>
      <c r="BA144" s="36"/>
    </row>
    <row r="145" spans="1:53" s="37" customFormat="1" ht="21.75" customHeight="1">
      <c r="A145" s="123"/>
      <c r="B145" s="125"/>
      <c r="C145" s="117"/>
      <c r="D145" s="114"/>
      <c r="E145" s="22" t="s">
        <v>57</v>
      </c>
      <c r="F145" s="96">
        <f t="shared" si="56"/>
        <v>1170</v>
      </c>
      <c r="G145" s="15"/>
      <c r="H145" s="14">
        <v>0</v>
      </c>
      <c r="I145" s="14">
        <v>870</v>
      </c>
      <c r="J145" s="14">
        <v>300</v>
      </c>
      <c r="K145" s="14">
        <v>0</v>
      </c>
      <c r="L145" s="14">
        <v>0</v>
      </c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F145" s="32"/>
      <c r="AG145" s="32"/>
      <c r="AH145" s="32"/>
      <c r="AI145" s="32"/>
      <c r="AJ145" s="32"/>
      <c r="AK145" s="32"/>
      <c r="AL145" s="32"/>
      <c r="AM145" s="32"/>
      <c r="AN145" s="32"/>
      <c r="AO145" s="32"/>
      <c r="AP145" s="32"/>
      <c r="AQ145" s="32"/>
      <c r="AR145" s="33"/>
      <c r="AS145" s="34"/>
      <c r="AT145" s="34"/>
      <c r="AU145" s="34"/>
      <c r="AV145" s="34"/>
      <c r="AW145" s="34"/>
      <c r="AX145" s="34"/>
      <c r="AY145" s="34"/>
      <c r="AZ145" s="35"/>
      <c r="BA145" s="36"/>
    </row>
    <row r="146" spans="1:53" s="53" customFormat="1" ht="21.75" customHeight="1">
      <c r="A146" s="124"/>
      <c r="B146" s="126"/>
      <c r="C146" s="118"/>
      <c r="D146" s="115"/>
      <c r="E146" s="22" t="s">
        <v>58</v>
      </c>
      <c r="F146" s="96">
        <f t="shared" si="56"/>
        <v>0</v>
      </c>
      <c r="G146" s="14">
        <v>0</v>
      </c>
      <c r="H146" s="14">
        <v>0</v>
      </c>
      <c r="I146" s="14">
        <v>0</v>
      </c>
      <c r="J146" s="14">
        <v>0</v>
      </c>
      <c r="K146" s="14">
        <v>0</v>
      </c>
      <c r="L146" s="14">
        <v>0</v>
      </c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F146" s="28"/>
      <c r="AG146" s="28"/>
      <c r="AH146" s="28"/>
      <c r="AI146" s="28"/>
      <c r="AJ146" s="28"/>
      <c r="AK146" s="28"/>
      <c r="AL146" s="28"/>
      <c r="AM146" s="28"/>
      <c r="AN146" s="28"/>
      <c r="AO146" s="28"/>
      <c r="AP146" s="28"/>
      <c r="AQ146" s="28"/>
      <c r="AR146" s="49"/>
      <c r="AS146" s="50"/>
      <c r="AT146" s="50"/>
      <c r="AU146" s="50"/>
      <c r="AV146" s="50"/>
      <c r="AW146" s="50"/>
      <c r="AX146" s="50"/>
      <c r="AY146" s="50"/>
      <c r="AZ146" s="51"/>
      <c r="BA146" s="52"/>
    </row>
    <row r="147" spans="1:53" s="37" customFormat="1" ht="21.75" customHeight="1">
      <c r="A147" s="122" t="s">
        <v>95</v>
      </c>
      <c r="B147" s="102" t="s">
        <v>99</v>
      </c>
      <c r="C147" s="116" t="s">
        <v>201</v>
      </c>
      <c r="D147" s="99" t="s">
        <v>157</v>
      </c>
      <c r="E147" s="22" t="s">
        <v>47</v>
      </c>
      <c r="F147" s="96">
        <f t="shared" si="56"/>
        <v>3633.3409999999999</v>
      </c>
      <c r="G147" s="90">
        <f t="shared" ref="G147:L147" si="57">G148+G150+G151+G152</f>
        <v>0</v>
      </c>
      <c r="H147" s="90">
        <f t="shared" si="57"/>
        <v>61.08</v>
      </c>
      <c r="I147" s="90">
        <f t="shared" si="57"/>
        <v>1872.261</v>
      </c>
      <c r="J147" s="90">
        <f t="shared" si="57"/>
        <v>1700</v>
      </c>
      <c r="K147" s="92">
        <f t="shared" si="57"/>
        <v>0</v>
      </c>
      <c r="L147" s="92">
        <f t="shared" si="57"/>
        <v>0</v>
      </c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F147" s="32"/>
      <c r="AG147" s="32"/>
      <c r="AH147" s="32"/>
      <c r="AI147" s="32"/>
      <c r="AJ147" s="32"/>
      <c r="AK147" s="32"/>
      <c r="AL147" s="32"/>
      <c r="AM147" s="32"/>
      <c r="AN147" s="32"/>
      <c r="AO147" s="32"/>
      <c r="AP147" s="32"/>
      <c r="AQ147" s="32"/>
      <c r="AR147" s="33"/>
      <c r="AS147" s="34"/>
      <c r="AT147" s="34"/>
      <c r="AU147" s="34"/>
      <c r="AV147" s="34"/>
      <c r="AW147" s="34"/>
      <c r="AX147" s="34"/>
      <c r="AY147" s="34"/>
      <c r="AZ147" s="35"/>
      <c r="BA147" s="36"/>
    </row>
    <row r="148" spans="1:53" s="37" customFormat="1" ht="21.75" customHeight="1">
      <c r="A148" s="123"/>
      <c r="B148" s="125"/>
      <c r="C148" s="117"/>
      <c r="D148" s="114"/>
      <c r="E148" s="22" t="s">
        <v>55</v>
      </c>
      <c r="F148" s="96">
        <f t="shared" si="56"/>
        <v>0</v>
      </c>
      <c r="G148" s="14">
        <v>0</v>
      </c>
      <c r="H148" s="14">
        <v>0</v>
      </c>
      <c r="I148" s="14">
        <v>0</v>
      </c>
      <c r="J148" s="14">
        <v>0</v>
      </c>
      <c r="K148" s="14">
        <v>0</v>
      </c>
      <c r="L148" s="14">
        <v>0</v>
      </c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F148" s="32"/>
      <c r="AG148" s="32"/>
      <c r="AH148" s="32"/>
      <c r="AI148" s="32"/>
      <c r="AJ148" s="32"/>
      <c r="AK148" s="32"/>
      <c r="AL148" s="32"/>
      <c r="AM148" s="32"/>
      <c r="AN148" s="32"/>
      <c r="AO148" s="32"/>
      <c r="AP148" s="32"/>
      <c r="AQ148" s="32"/>
      <c r="AR148" s="33"/>
      <c r="AS148" s="34"/>
      <c r="AT148" s="34"/>
      <c r="AU148" s="34"/>
      <c r="AV148" s="34"/>
      <c r="AW148" s="34"/>
      <c r="AX148" s="34"/>
      <c r="AY148" s="34"/>
      <c r="AZ148" s="35"/>
      <c r="BA148" s="36"/>
    </row>
    <row r="149" spans="1:53" s="37" customFormat="1" ht="29.25" customHeight="1">
      <c r="A149" s="123"/>
      <c r="B149" s="125"/>
      <c r="C149" s="117"/>
      <c r="D149" s="114"/>
      <c r="E149" s="21" t="s">
        <v>166</v>
      </c>
      <c r="F149" s="96">
        <f t="shared" si="56"/>
        <v>0</v>
      </c>
      <c r="G149" s="14">
        <v>0</v>
      </c>
      <c r="H149" s="14">
        <v>0</v>
      </c>
      <c r="I149" s="14">
        <v>0</v>
      </c>
      <c r="J149" s="14">
        <v>0</v>
      </c>
      <c r="K149" s="14">
        <v>0</v>
      </c>
      <c r="L149" s="14">
        <v>0</v>
      </c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F149" s="32"/>
      <c r="AG149" s="32"/>
      <c r="AH149" s="32"/>
      <c r="AI149" s="32"/>
      <c r="AJ149" s="32"/>
      <c r="AK149" s="32"/>
      <c r="AL149" s="32"/>
      <c r="AM149" s="32"/>
      <c r="AN149" s="32"/>
      <c r="AO149" s="32"/>
      <c r="AP149" s="32"/>
      <c r="AQ149" s="32"/>
      <c r="AR149" s="33"/>
      <c r="AS149" s="34"/>
      <c r="AT149" s="34"/>
      <c r="AU149" s="34"/>
      <c r="AV149" s="34"/>
      <c r="AW149" s="34"/>
      <c r="AX149" s="34"/>
      <c r="AY149" s="34"/>
      <c r="AZ149" s="35"/>
      <c r="BA149" s="36"/>
    </row>
    <row r="150" spans="1:53" s="37" customFormat="1" ht="21.75" customHeight="1">
      <c r="A150" s="123"/>
      <c r="B150" s="125"/>
      <c r="C150" s="117"/>
      <c r="D150" s="114"/>
      <c r="E150" s="22" t="s">
        <v>56</v>
      </c>
      <c r="F150" s="96">
        <f t="shared" si="56"/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F150" s="32"/>
      <c r="AG150" s="32"/>
      <c r="AH150" s="32"/>
      <c r="AI150" s="32"/>
      <c r="AJ150" s="32"/>
      <c r="AK150" s="32"/>
      <c r="AL150" s="32"/>
      <c r="AM150" s="32"/>
      <c r="AN150" s="32"/>
      <c r="AO150" s="32"/>
      <c r="AP150" s="32"/>
      <c r="AQ150" s="32"/>
      <c r="AR150" s="33"/>
      <c r="AS150" s="34"/>
      <c r="AT150" s="34"/>
      <c r="AU150" s="34"/>
      <c r="AV150" s="34"/>
      <c r="AW150" s="34"/>
      <c r="AX150" s="34"/>
      <c r="AY150" s="34"/>
      <c r="AZ150" s="35"/>
      <c r="BA150" s="36"/>
    </row>
    <row r="151" spans="1:53" s="37" customFormat="1" ht="21.75" customHeight="1">
      <c r="A151" s="123"/>
      <c r="B151" s="125"/>
      <c r="C151" s="117"/>
      <c r="D151" s="114"/>
      <c r="E151" s="22" t="s">
        <v>57</v>
      </c>
      <c r="F151" s="96">
        <f t="shared" si="56"/>
        <v>3633.3409999999999</v>
      </c>
      <c r="G151" s="15"/>
      <c r="H151" s="14">
        <v>61.08</v>
      </c>
      <c r="I151" s="15">
        <f>1872.261</f>
        <v>1872.261</v>
      </c>
      <c r="J151" s="15">
        <v>1700</v>
      </c>
      <c r="K151" s="14">
        <v>0</v>
      </c>
      <c r="L151" s="14">
        <v>0</v>
      </c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  <c r="AK151" s="32"/>
      <c r="AL151" s="32"/>
      <c r="AM151" s="32"/>
      <c r="AN151" s="32"/>
      <c r="AO151" s="32"/>
      <c r="AP151" s="32"/>
      <c r="AQ151" s="32"/>
      <c r="AR151" s="33"/>
      <c r="AS151" s="34"/>
      <c r="AT151" s="34"/>
      <c r="AU151" s="34"/>
      <c r="AV151" s="34"/>
      <c r="AW151" s="34"/>
      <c r="AX151" s="34"/>
      <c r="AY151" s="34"/>
      <c r="AZ151" s="35"/>
      <c r="BA151" s="36"/>
    </row>
    <row r="152" spans="1:53" s="53" customFormat="1" ht="18.75" customHeight="1">
      <c r="A152" s="124"/>
      <c r="B152" s="126"/>
      <c r="C152" s="118"/>
      <c r="D152" s="115"/>
      <c r="E152" s="22" t="s">
        <v>58</v>
      </c>
      <c r="F152" s="96">
        <f t="shared" si="56"/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49"/>
      <c r="AS152" s="50"/>
      <c r="AT152" s="50"/>
      <c r="AU152" s="50"/>
      <c r="AV152" s="50"/>
      <c r="AW152" s="50"/>
      <c r="AX152" s="50"/>
      <c r="AY152" s="50"/>
      <c r="AZ152" s="51"/>
      <c r="BA152" s="52"/>
    </row>
    <row r="153" spans="1:53" s="53" customFormat="1" ht="18.75" hidden="1" customHeight="1">
      <c r="A153" s="122" t="s">
        <v>92</v>
      </c>
      <c r="B153" s="102" t="s">
        <v>188</v>
      </c>
      <c r="C153" s="116"/>
      <c r="D153" s="99" t="s">
        <v>87</v>
      </c>
      <c r="E153" s="22" t="s">
        <v>47</v>
      </c>
      <c r="F153" s="96"/>
      <c r="G153" s="14"/>
      <c r="H153" s="14"/>
      <c r="I153" s="14"/>
      <c r="J153" s="14"/>
      <c r="K153" s="14"/>
      <c r="L153" s="14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49"/>
      <c r="AS153" s="50"/>
      <c r="AT153" s="50"/>
      <c r="AU153" s="50"/>
      <c r="AV153" s="50"/>
      <c r="AW153" s="50"/>
      <c r="AX153" s="50"/>
      <c r="AY153" s="50"/>
      <c r="AZ153" s="51"/>
      <c r="BA153" s="52"/>
    </row>
    <row r="154" spans="1:53" s="53" customFormat="1" ht="18.75" hidden="1" customHeight="1">
      <c r="A154" s="123"/>
      <c r="B154" s="125"/>
      <c r="C154" s="117"/>
      <c r="D154" s="114" t="s">
        <v>87</v>
      </c>
      <c r="E154" s="22" t="s">
        <v>55</v>
      </c>
      <c r="F154" s="96"/>
      <c r="G154" s="14"/>
      <c r="H154" s="14"/>
      <c r="I154" s="14"/>
      <c r="J154" s="14"/>
      <c r="K154" s="14"/>
      <c r="L154" s="14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  <c r="AH154" s="28"/>
      <c r="AI154" s="28"/>
      <c r="AJ154" s="28"/>
      <c r="AK154" s="28"/>
      <c r="AL154" s="28"/>
      <c r="AM154" s="28"/>
      <c r="AN154" s="28"/>
      <c r="AO154" s="28"/>
      <c r="AP154" s="28"/>
      <c r="AQ154" s="28"/>
      <c r="AR154" s="49"/>
      <c r="AS154" s="50"/>
      <c r="AT154" s="50"/>
      <c r="AU154" s="50"/>
      <c r="AV154" s="50"/>
      <c r="AW154" s="50"/>
      <c r="AX154" s="50"/>
      <c r="AY154" s="50"/>
      <c r="AZ154" s="51"/>
      <c r="BA154" s="52"/>
    </row>
    <row r="155" spans="1:53" s="53" customFormat="1" ht="27" hidden="1" customHeight="1">
      <c r="A155" s="123"/>
      <c r="B155" s="125"/>
      <c r="C155" s="117"/>
      <c r="D155" s="114"/>
      <c r="E155" s="21" t="s">
        <v>166</v>
      </c>
      <c r="F155" s="96"/>
      <c r="G155" s="14"/>
      <c r="H155" s="14"/>
      <c r="I155" s="14"/>
      <c r="J155" s="14"/>
      <c r="K155" s="14"/>
      <c r="L155" s="14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49"/>
      <c r="AS155" s="50"/>
      <c r="AT155" s="50"/>
      <c r="AU155" s="50"/>
      <c r="AV155" s="50"/>
      <c r="AW155" s="50"/>
      <c r="AX155" s="50"/>
      <c r="AY155" s="50"/>
      <c r="AZ155" s="51"/>
      <c r="BA155" s="52"/>
    </row>
    <row r="156" spans="1:53" s="53" customFormat="1" ht="18.75" hidden="1" customHeight="1">
      <c r="A156" s="123"/>
      <c r="B156" s="125"/>
      <c r="C156" s="117"/>
      <c r="D156" s="114"/>
      <c r="E156" s="22" t="s">
        <v>56</v>
      </c>
      <c r="F156" s="96"/>
      <c r="G156" s="14"/>
      <c r="H156" s="14"/>
      <c r="I156" s="14"/>
      <c r="J156" s="14"/>
      <c r="K156" s="14"/>
      <c r="L156" s="14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  <c r="AJ156" s="28"/>
      <c r="AK156" s="28"/>
      <c r="AL156" s="28"/>
      <c r="AM156" s="28"/>
      <c r="AN156" s="28"/>
      <c r="AO156" s="28"/>
      <c r="AP156" s="28"/>
      <c r="AQ156" s="28"/>
      <c r="AR156" s="49"/>
      <c r="AS156" s="50"/>
      <c r="AT156" s="50"/>
      <c r="AU156" s="50"/>
      <c r="AV156" s="50"/>
      <c r="AW156" s="50"/>
      <c r="AX156" s="50"/>
      <c r="AY156" s="50"/>
      <c r="AZ156" s="51"/>
      <c r="BA156" s="52"/>
    </row>
    <row r="157" spans="1:53" s="53" customFormat="1" ht="18.75" hidden="1" customHeight="1">
      <c r="A157" s="123"/>
      <c r="B157" s="125"/>
      <c r="C157" s="117"/>
      <c r="D157" s="114"/>
      <c r="E157" s="22" t="s">
        <v>57</v>
      </c>
      <c r="F157" s="96"/>
      <c r="G157" s="14"/>
      <c r="H157" s="14"/>
      <c r="I157" s="14"/>
      <c r="J157" s="14"/>
      <c r="K157" s="14"/>
      <c r="L157" s="14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49"/>
      <c r="AS157" s="50"/>
      <c r="AT157" s="50"/>
      <c r="AU157" s="50"/>
      <c r="AV157" s="50"/>
      <c r="AW157" s="50"/>
      <c r="AX157" s="50"/>
      <c r="AY157" s="50"/>
      <c r="AZ157" s="51"/>
      <c r="BA157" s="52"/>
    </row>
    <row r="158" spans="1:53" s="53" customFormat="1" ht="18.75" hidden="1" customHeight="1">
      <c r="A158" s="124"/>
      <c r="B158" s="126"/>
      <c r="C158" s="118"/>
      <c r="D158" s="115"/>
      <c r="E158" s="22" t="s">
        <v>58</v>
      </c>
      <c r="F158" s="96"/>
      <c r="G158" s="14"/>
      <c r="H158" s="14"/>
      <c r="I158" s="14"/>
      <c r="J158" s="14"/>
      <c r="K158" s="14"/>
      <c r="L158" s="14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8"/>
      <c r="AI158" s="28"/>
      <c r="AJ158" s="28"/>
      <c r="AK158" s="28"/>
      <c r="AL158" s="28"/>
      <c r="AM158" s="28"/>
      <c r="AN158" s="28"/>
      <c r="AO158" s="28"/>
      <c r="AP158" s="28"/>
      <c r="AQ158" s="28"/>
      <c r="AR158" s="49"/>
      <c r="AS158" s="50"/>
      <c r="AT158" s="50"/>
      <c r="AU158" s="50"/>
      <c r="AV158" s="50"/>
      <c r="AW158" s="50"/>
      <c r="AX158" s="50"/>
      <c r="AY158" s="50"/>
      <c r="AZ158" s="51"/>
      <c r="BA158" s="52"/>
    </row>
    <row r="159" spans="1:53" s="37" customFormat="1" ht="21.75" customHeight="1">
      <c r="A159" s="122" t="s">
        <v>92</v>
      </c>
      <c r="B159" s="158" t="s">
        <v>118</v>
      </c>
      <c r="C159" s="116" t="s">
        <v>179</v>
      </c>
      <c r="D159" s="99" t="s">
        <v>159</v>
      </c>
      <c r="E159" s="22" t="s">
        <v>47</v>
      </c>
      <c r="F159" s="96">
        <f t="shared" ref="F159:F190" si="58">G159+H159+I159+J159+K159+L159</f>
        <v>136709.40099999998</v>
      </c>
      <c r="G159" s="90">
        <f t="shared" ref="G159:H159" si="59">G160+G162+G163+G164</f>
        <v>17002.364999999998</v>
      </c>
      <c r="H159" s="90">
        <f t="shared" si="59"/>
        <v>20471.473999999998</v>
      </c>
      <c r="I159" s="90">
        <f>I160+I162+I163+I164</f>
        <v>22310.907999999999</v>
      </c>
      <c r="J159" s="90">
        <f>J160+J162+J163+J164</f>
        <v>24247.881000000001</v>
      </c>
      <c r="K159" s="92">
        <f>K160+K162+K163+K164</f>
        <v>25548.999</v>
      </c>
      <c r="L159" s="92">
        <f>L160+L162+L163+L164</f>
        <v>27127.774000000001</v>
      </c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  <c r="AA159" s="32"/>
      <c r="AB159" s="32"/>
      <c r="AC159" s="32"/>
      <c r="AD159" s="32"/>
      <c r="AE159" s="32"/>
      <c r="AF159" s="32"/>
      <c r="AG159" s="32"/>
      <c r="AH159" s="32"/>
      <c r="AI159" s="32"/>
      <c r="AJ159" s="32"/>
      <c r="AK159" s="32"/>
      <c r="AL159" s="32"/>
      <c r="AM159" s="32"/>
      <c r="AN159" s="32"/>
      <c r="AO159" s="32"/>
      <c r="AP159" s="32"/>
      <c r="AQ159" s="32"/>
      <c r="AR159" s="33"/>
      <c r="AS159" s="34"/>
      <c r="AT159" s="34"/>
      <c r="AU159" s="34"/>
      <c r="AV159" s="34"/>
      <c r="AW159" s="34"/>
      <c r="AX159" s="34"/>
      <c r="AY159" s="34"/>
      <c r="AZ159" s="35"/>
      <c r="BA159" s="36"/>
    </row>
    <row r="160" spans="1:53" s="37" customFormat="1" ht="21.75" customHeight="1">
      <c r="A160" s="123"/>
      <c r="B160" s="156"/>
      <c r="C160" s="117"/>
      <c r="D160" s="114"/>
      <c r="E160" s="22" t="s">
        <v>55</v>
      </c>
      <c r="F160" s="96">
        <f t="shared" si="58"/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F160" s="32"/>
      <c r="AG160" s="32"/>
      <c r="AH160" s="32"/>
      <c r="AI160" s="32"/>
      <c r="AJ160" s="32"/>
      <c r="AK160" s="32"/>
      <c r="AL160" s="32"/>
      <c r="AM160" s="32"/>
      <c r="AN160" s="32"/>
      <c r="AO160" s="32"/>
      <c r="AP160" s="32"/>
      <c r="AQ160" s="32"/>
      <c r="AR160" s="33"/>
      <c r="AS160" s="34"/>
      <c r="AT160" s="34"/>
      <c r="AU160" s="34"/>
      <c r="AV160" s="34"/>
      <c r="AW160" s="34"/>
      <c r="AX160" s="34"/>
      <c r="AY160" s="34"/>
      <c r="AZ160" s="35"/>
      <c r="BA160" s="36"/>
    </row>
    <row r="161" spans="1:53" s="37" customFormat="1" ht="25.5" customHeight="1">
      <c r="A161" s="123"/>
      <c r="B161" s="156"/>
      <c r="C161" s="117"/>
      <c r="D161" s="114"/>
      <c r="E161" s="21" t="s">
        <v>166</v>
      </c>
      <c r="F161" s="96">
        <f t="shared" si="58"/>
        <v>0</v>
      </c>
      <c r="G161" s="14">
        <v>0</v>
      </c>
      <c r="H161" s="14">
        <v>0</v>
      </c>
      <c r="I161" s="14">
        <v>0</v>
      </c>
      <c r="J161" s="14">
        <v>0</v>
      </c>
      <c r="K161" s="14">
        <v>0</v>
      </c>
      <c r="L161" s="14">
        <v>0</v>
      </c>
      <c r="M161" s="32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  <c r="AA161" s="32"/>
      <c r="AB161" s="32"/>
      <c r="AC161" s="32"/>
      <c r="AD161" s="32"/>
      <c r="AE161" s="32"/>
      <c r="AF161" s="32"/>
      <c r="AG161" s="32"/>
      <c r="AH161" s="32"/>
      <c r="AI161" s="32"/>
      <c r="AJ161" s="32"/>
      <c r="AK161" s="32"/>
      <c r="AL161" s="32"/>
      <c r="AM161" s="32"/>
      <c r="AN161" s="32"/>
      <c r="AO161" s="32"/>
      <c r="AP161" s="32"/>
      <c r="AQ161" s="32"/>
      <c r="AR161" s="33"/>
      <c r="AS161" s="34"/>
      <c r="AT161" s="34"/>
      <c r="AU161" s="34"/>
      <c r="AV161" s="34"/>
      <c r="AW161" s="34"/>
      <c r="AX161" s="34"/>
      <c r="AY161" s="34"/>
      <c r="AZ161" s="35"/>
      <c r="BA161" s="36"/>
    </row>
    <row r="162" spans="1:53" s="37" customFormat="1" ht="21.75" customHeight="1">
      <c r="A162" s="123"/>
      <c r="B162" s="156"/>
      <c r="C162" s="117"/>
      <c r="D162" s="114"/>
      <c r="E162" s="22" t="s">
        <v>56</v>
      </c>
      <c r="F162" s="96">
        <f t="shared" si="58"/>
        <v>0</v>
      </c>
      <c r="G162" s="14">
        <v>0</v>
      </c>
      <c r="H162" s="14">
        <v>0</v>
      </c>
      <c r="I162" s="14">
        <v>0</v>
      </c>
      <c r="J162" s="14">
        <v>0</v>
      </c>
      <c r="K162" s="14">
        <v>0</v>
      </c>
      <c r="L162" s="14">
        <v>0</v>
      </c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F162" s="32"/>
      <c r="AG162" s="32"/>
      <c r="AH162" s="32"/>
      <c r="AI162" s="32"/>
      <c r="AJ162" s="32"/>
      <c r="AK162" s="32"/>
      <c r="AL162" s="32"/>
      <c r="AM162" s="32"/>
      <c r="AN162" s="32"/>
      <c r="AO162" s="32"/>
      <c r="AP162" s="32"/>
      <c r="AQ162" s="32"/>
      <c r="AR162" s="33"/>
      <c r="AS162" s="34"/>
      <c r="AT162" s="34"/>
      <c r="AU162" s="34"/>
      <c r="AV162" s="34"/>
      <c r="AW162" s="34"/>
      <c r="AX162" s="34"/>
      <c r="AY162" s="34"/>
      <c r="AZ162" s="35"/>
      <c r="BA162" s="36"/>
    </row>
    <row r="163" spans="1:53" s="37" customFormat="1" ht="21.75" customHeight="1">
      <c r="A163" s="123"/>
      <c r="B163" s="156"/>
      <c r="C163" s="117"/>
      <c r="D163" s="114"/>
      <c r="E163" s="22" t="s">
        <v>57</v>
      </c>
      <c r="F163" s="96">
        <f t="shared" si="58"/>
        <v>136709.40099999998</v>
      </c>
      <c r="G163" s="14">
        <f>16910.958+91.407</f>
        <v>17002.364999999998</v>
      </c>
      <c r="H163" s="14">
        <v>20471.473999999998</v>
      </c>
      <c r="I163" s="15">
        <f>22310.908</f>
        <v>22310.907999999999</v>
      </c>
      <c r="J163" s="15">
        <v>24247.881000000001</v>
      </c>
      <c r="K163" s="14">
        <v>25548.999</v>
      </c>
      <c r="L163" s="15">
        <v>27127.774000000001</v>
      </c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2"/>
      <c r="Z163" s="32"/>
      <c r="AA163" s="32"/>
      <c r="AB163" s="32"/>
      <c r="AC163" s="32"/>
      <c r="AD163" s="32"/>
      <c r="AE163" s="32"/>
      <c r="AF163" s="32"/>
      <c r="AG163" s="32"/>
      <c r="AH163" s="32"/>
      <c r="AI163" s="32"/>
      <c r="AJ163" s="32"/>
      <c r="AK163" s="32"/>
      <c r="AL163" s="32"/>
      <c r="AM163" s="32"/>
      <c r="AN163" s="32"/>
      <c r="AO163" s="32"/>
      <c r="AP163" s="32"/>
      <c r="AQ163" s="32"/>
      <c r="AR163" s="33"/>
      <c r="AS163" s="34"/>
      <c r="AT163" s="34"/>
      <c r="AU163" s="34"/>
      <c r="AV163" s="34"/>
      <c r="AW163" s="34"/>
      <c r="AX163" s="34"/>
      <c r="AY163" s="34"/>
      <c r="AZ163" s="35"/>
      <c r="BA163" s="36"/>
    </row>
    <row r="164" spans="1:53" s="53" customFormat="1" ht="21.75" customHeight="1">
      <c r="A164" s="124"/>
      <c r="B164" s="157"/>
      <c r="C164" s="118"/>
      <c r="D164" s="115"/>
      <c r="E164" s="22" t="s">
        <v>58</v>
      </c>
      <c r="F164" s="96">
        <f t="shared" si="58"/>
        <v>0</v>
      </c>
      <c r="G164" s="14">
        <v>0</v>
      </c>
      <c r="H164" s="14">
        <v>0</v>
      </c>
      <c r="I164" s="14">
        <v>0</v>
      </c>
      <c r="J164" s="14">
        <v>0</v>
      </c>
      <c r="K164" s="14">
        <v>0</v>
      </c>
      <c r="L164" s="14">
        <v>0</v>
      </c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28"/>
      <c r="AN164" s="28"/>
      <c r="AO164" s="28"/>
      <c r="AP164" s="28"/>
      <c r="AQ164" s="28"/>
      <c r="AR164" s="49"/>
      <c r="AS164" s="50"/>
      <c r="AT164" s="50"/>
      <c r="AU164" s="50"/>
      <c r="AV164" s="50"/>
      <c r="AW164" s="50"/>
      <c r="AX164" s="50"/>
      <c r="AY164" s="50"/>
      <c r="AZ164" s="51"/>
      <c r="BA164" s="52"/>
    </row>
    <row r="165" spans="1:53" s="37" customFormat="1" ht="21.75" customHeight="1">
      <c r="A165" s="122" t="s">
        <v>93</v>
      </c>
      <c r="B165" s="102" t="s">
        <v>84</v>
      </c>
      <c r="C165" s="116" t="s">
        <v>183</v>
      </c>
      <c r="D165" s="99" t="s">
        <v>160</v>
      </c>
      <c r="E165" s="22" t="s">
        <v>47</v>
      </c>
      <c r="F165" s="96">
        <f t="shared" si="58"/>
        <v>43653.144</v>
      </c>
      <c r="G165" s="90">
        <f t="shared" ref="G165:I165" si="60">G166+G168+G169+G170</f>
        <v>5411.7749999999996</v>
      </c>
      <c r="H165" s="90">
        <f t="shared" si="60"/>
        <v>6502.9970000000003</v>
      </c>
      <c r="I165" s="90">
        <f t="shared" si="60"/>
        <v>7087.942</v>
      </c>
      <c r="J165" s="90">
        <f t="shared" ref="J165:L165" si="61">J166+J168+J169+J170</f>
        <v>7716.058</v>
      </c>
      <c r="K165" s="92">
        <f t="shared" si="61"/>
        <v>8216.8349999999991</v>
      </c>
      <c r="L165" s="92">
        <f t="shared" si="61"/>
        <v>8717.5370000000003</v>
      </c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32"/>
      <c r="AA165" s="32"/>
      <c r="AB165" s="32"/>
      <c r="AC165" s="32"/>
      <c r="AD165" s="32"/>
      <c r="AE165" s="32"/>
      <c r="AF165" s="32"/>
      <c r="AG165" s="32"/>
      <c r="AH165" s="32"/>
      <c r="AI165" s="32"/>
      <c r="AJ165" s="32"/>
      <c r="AK165" s="32"/>
      <c r="AL165" s="32"/>
      <c r="AM165" s="32"/>
      <c r="AN165" s="32"/>
      <c r="AO165" s="32"/>
      <c r="AP165" s="32"/>
      <c r="AQ165" s="32"/>
      <c r="AR165" s="33"/>
      <c r="AS165" s="34"/>
      <c r="AT165" s="34"/>
      <c r="AU165" s="34"/>
      <c r="AV165" s="34"/>
      <c r="AW165" s="34"/>
      <c r="AX165" s="34"/>
      <c r="AY165" s="34"/>
      <c r="AZ165" s="35"/>
      <c r="BA165" s="36"/>
    </row>
    <row r="166" spans="1:53" s="37" customFormat="1" ht="21.75" customHeight="1">
      <c r="A166" s="123"/>
      <c r="B166" s="156"/>
      <c r="C166" s="117"/>
      <c r="D166" s="100"/>
      <c r="E166" s="22" t="s">
        <v>55</v>
      </c>
      <c r="F166" s="96">
        <f t="shared" si="58"/>
        <v>0</v>
      </c>
      <c r="G166" s="14">
        <v>0</v>
      </c>
      <c r="H166" s="14">
        <v>0</v>
      </c>
      <c r="I166" s="14">
        <v>0</v>
      </c>
      <c r="J166" s="14">
        <v>0</v>
      </c>
      <c r="K166" s="14">
        <v>0</v>
      </c>
      <c r="L166" s="14">
        <v>0</v>
      </c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  <c r="AF166" s="32"/>
      <c r="AG166" s="32"/>
      <c r="AH166" s="32"/>
      <c r="AI166" s="32"/>
      <c r="AJ166" s="32"/>
      <c r="AK166" s="32"/>
      <c r="AL166" s="32"/>
      <c r="AM166" s="32"/>
      <c r="AN166" s="32"/>
      <c r="AO166" s="32"/>
      <c r="AP166" s="32"/>
      <c r="AQ166" s="32"/>
      <c r="AR166" s="33"/>
      <c r="AS166" s="34"/>
      <c r="AT166" s="34"/>
      <c r="AU166" s="34"/>
      <c r="AV166" s="34"/>
      <c r="AW166" s="34"/>
      <c r="AX166" s="34"/>
      <c r="AY166" s="34"/>
      <c r="AZ166" s="35"/>
      <c r="BA166" s="36"/>
    </row>
    <row r="167" spans="1:53" s="37" customFormat="1" ht="25.5" customHeight="1">
      <c r="A167" s="123"/>
      <c r="B167" s="156"/>
      <c r="C167" s="117"/>
      <c r="D167" s="100"/>
      <c r="E167" s="21" t="s">
        <v>166</v>
      </c>
      <c r="F167" s="96">
        <f t="shared" si="58"/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  <c r="AA167" s="32"/>
      <c r="AB167" s="32"/>
      <c r="AC167" s="32"/>
      <c r="AD167" s="32"/>
      <c r="AE167" s="32"/>
      <c r="AF167" s="32"/>
      <c r="AG167" s="32"/>
      <c r="AH167" s="32"/>
      <c r="AI167" s="32"/>
      <c r="AJ167" s="32"/>
      <c r="AK167" s="32"/>
      <c r="AL167" s="32"/>
      <c r="AM167" s="32"/>
      <c r="AN167" s="32"/>
      <c r="AO167" s="32"/>
      <c r="AP167" s="32"/>
      <c r="AQ167" s="32"/>
      <c r="AR167" s="33"/>
      <c r="AS167" s="34"/>
      <c r="AT167" s="34"/>
      <c r="AU167" s="34"/>
      <c r="AV167" s="34"/>
      <c r="AW167" s="34"/>
      <c r="AX167" s="34"/>
      <c r="AY167" s="34"/>
      <c r="AZ167" s="35"/>
      <c r="BA167" s="36"/>
    </row>
    <row r="168" spans="1:53" s="37" customFormat="1" ht="21.75" customHeight="1">
      <c r="A168" s="123"/>
      <c r="B168" s="156"/>
      <c r="C168" s="117"/>
      <c r="D168" s="100"/>
      <c r="E168" s="22" t="s">
        <v>56</v>
      </c>
      <c r="F168" s="96">
        <f t="shared" si="58"/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32"/>
      <c r="N168" s="32"/>
      <c r="O168" s="32"/>
      <c r="P168" s="32"/>
      <c r="Q168" s="32"/>
      <c r="R168" s="32"/>
      <c r="S168" s="32"/>
      <c r="T168" s="32"/>
      <c r="U168" s="32"/>
      <c r="V168" s="32"/>
      <c r="W168" s="32"/>
      <c r="X168" s="32"/>
      <c r="Y168" s="32"/>
      <c r="Z168" s="32"/>
      <c r="AA168" s="32"/>
      <c r="AB168" s="32"/>
      <c r="AC168" s="32"/>
      <c r="AD168" s="32"/>
      <c r="AE168" s="32"/>
      <c r="AF168" s="32"/>
      <c r="AG168" s="32"/>
      <c r="AH168" s="32"/>
      <c r="AI168" s="32"/>
      <c r="AJ168" s="32"/>
      <c r="AK168" s="32"/>
      <c r="AL168" s="32"/>
      <c r="AM168" s="32"/>
      <c r="AN168" s="32"/>
      <c r="AO168" s="32"/>
      <c r="AP168" s="32"/>
      <c r="AQ168" s="32"/>
      <c r="AR168" s="33"/>
      <c r="AS168" s="34"/>
      <c r="AT168" s="34"/>
      <c r="AU168" s="34"/>
      <c r="AV168" s="34"/>
      <c r="AW168" s="34"/>
      <c r="AX168" s="34"/>
      <c r="AY168" s="34"/>
      <c r="AZ168" s="35"/>
      <c r="BA168" s="36"/>
    </row>
    <row r="169" spans="1:53" s="37" customFormat="1" ht="21.75" customHeight="1">
      <c r="A169" s="123"/>
      <c r="B169" s="156"/>
      <c r="C169" s="117"/>
      <c r="D169" s="100"/>
      <c r="E169" s="22" t="s">
        <v>57</v>
      </c>
      <c r="F169" s="96">
        <f t="shared" si="58"/>
        <v>43653.144</v>
      </c>
      <c r="G169" s="14">
        <v>5411.7749999999996</v>
      </c>
      <c r="H169" s="14">
        <v>6502.9970000000003</v>
      </c>
      <c r="I169" s="14">
        <v>7087.942</v>
      </c>
      <c r="J169" s="14">
        <v>7716.058</v>
      </c>
      <c r="K169" s="14">
        <v>8216.8349999999991</v>
      </c>
      <c r="L169" s="15">
        <v>8717.5370000000003</v>
      </c>
      <c r="M169" s="32"/>
      <c r="N169" s="32"/>
      <c r="O169" s="32"/>
      <c r="P169" s="32"/>
      <c r="Q169" s="32"/>
      <c r="R169" s="32"/>
      <c r="S169" s="32"/>
      <c r="T169" s="32"/>
      <c r="U169" s="32"/>
      <c r="V169" s="32"/>
      <c r="W169" s="32"/>
      <c r="X169" s="32"/>
      <c r="Y169" s="32"/>
      <c r="Z169" s="32"/>
      <c r="AA169" s="32"/>
      <c r="AB169" s="32"/>
      <c r="AC169" s="32"/>
      <c r="AD169" s="32"/>
      <c r="AE169" s="32"/>
      <c r="AF169" s="32"/>
      <c r="AG169" s="32"/>
      <c r="AH169" s="32"/>
      <c r="AI169" s="32"/>
      <c r="AJ169" s="32"/>
      <c r="AK169" s="32"/>
      <c r="AL169" s="32"/>
      <c r="AM169" s="32"/>
      <c r="AN169" s="32"/>
      <c r="AO169" s="32"/>
      <c r="AP169" s="32"/>
      <c r="AQ169" s="32"/>
      <c r="AR169" s="33"/>
      <c r="AS169" s="34"/>
      <c r="AT169" s="34"/>
      <c r="AU169" s="34"/>
      <c r="AV169" s="34"/>
      <c r="AW169" s="34"/>
      <c r="AX169" s="34"/>
      <c r="AY169" s="34"/>
      <c r="AZ169" s="35"/>
      <c r="BA169" s="36"/>
    </row>
    <row r="170" spans="1:53" s="53" customFormat="1" ht="21.75" customHeight="1">
      <c r="A170" s="124"/>
      <c r="B170" s="157"/>
      <c r="C170" s="118"/>
      <c r="D170" s="101"/>
      <c r="E170" s="22" t="s">
        <v>58</v>
      </c>
      <c r="F170" s="96">
        <f t="shared" si="58"/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28"/>
      <c r="AL170" s="28"/>
      <c r="AM170" s="28"/>
      <c r="AN170" s="28"/>
      <c r="AO170" s="28"/>
      <c r="AP170" s="28"/>
      <c r="AQ170" s="28"/>
      <c r="AR170" s="49"/>
      <c r="AS170" s="50"/>
      <c r="AT170" s="50"/>
      <c r="AU170" s="50"/>
      <c r="AV170" s="50"/>
      <c r="AW170" s="50"/>
      <c r="AX170" s="50"/>
      <c r="AY170" s="50"/>
      <c r="AZ170" s="51"/>
      <c r="BA170" s="52"/>
    </row>
    <row r="171" spans="1:53" s="37" customFormat="1" ht="21.75" customHeight="1">
      <c r="A171" s="122" t="s">
        <v>94</v>
      </c>
      <c r="B171" s="102" t="s">
        <v>119</v>
      </c>
      <c r="C171" s="116" t="s">
        <v>179</v>
      </c>
      <c r="D171" s="141" t="s">
        <v>158</v>
      </c>
      <c r="E171" s="22" t="s">
        <v>47</v>
      </c>
      <c r="F171" s="96">
        <f t="shared" si="58"/>
        <v>202381.65421000001</v>
      </c>
      <c r="G171" s="90">
        <f t="shared" ref="G171:I171" si="62">G172+G174+G175+G176</f>
        <v>26229.38365</v>
      </c>
      <c r="H171" s="90">
        <f t="shared" si="62"/>
        <v>31748.867999999999</v>
      </c>
      <c r="I171" s="90">
        <f t="shared" si="62"/>
        <v>32827.4853</v>
      </c>
      <c r="J171" s="90">
        <f t="shared" ref="J171:L171" si="63">J172+J174+J175+J176</f>
        <v>36417.372669999997</v>
      </c>
      <c r="K171" s="92">
        <f t="shared" si="63"/>
        <v>36550.975509999997</v>
      </c>
      <c r="L171" s="92">
        <f t="shared" si="63"/>
        <v>38607.569080000001</v>
      </c>
      <c r="M171" s="32"/>
      <c r="N171" s="32"/>
      <c r="O171" s="32"/>
      <c r="P171" s="32"/>
      <c r="Q171" s="32"/>
      <c r="R171" s="32"/>
      <c r="S171" s="32"/>
      <c r="T171" s="32"/>
      <c r="U171" s="32"/>
      <c r="V171" s="32"/>
      <c r="W171" s="32"/>
      <c r="X171" s="32"/>
      <c r="Y171" s="32"/>
      <c r="Z171" s="32"/>
      <c r="AA171" s="32"/>
      <c r="AB171" s="32"/>
      <c r="AC171" s="32"/>
      <c r="AD171" s="32"/>
      <c r="AE171" s="32"/>
      <c r="AF171" s="32"/>
      <c r="AG171" s="32"/>
      <c r="AH171" s="32"/>
      <c r="AI171" s="32"/>
      <c r="AJ171" s="32"/>
      <c r="AK171" s="32"/>
      <c r="AL171" s="32"/>
      <c r="AM171" s="32"/>
      <c r="AN171" s="32"/>
      <c r="AO171" s="32"/>
      <c r="AP171" s="32"/>
      <c r="AQ171" s="32"/>
      <c r="AR171" s="33"/>
      <c r="AS171" s="34"/>
      <c r="AT171" s="34"/>
      <c r="AU171" s="34"/>
      <c r="AV171" s="34"/>
      <c r="AW171" s="34"/>
      <c r="AX171" s="34"/>
      <c r="AY171" s="34"/>
      <c r="AZ171" s="35"/>
      <c r="BA171" s="36"/>
    </row>
    <row r="172" spans="1:53" s="37" customFormat="1" ht="21.75" customHeight="1">
      <c r="A172" s="123"/>
      <c r="B172" s="156"/>
      <c r="C172" s="117"/>
      <c r="D172" s="141"/>
      <c r="E172" s="22" t="s">
        <v>55</v>
      </c>
      <c r="F172" s="96">
        <f t="shared" si="58"/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32"/>
      <c r="N172" s="32"/>
      <c r="O172" s="32"/>
      <c r="P172" s="32"/>
      <c r="Q172" s="32"/>
      <c r="R172" s="32"/>
      <c r="S172" s="32"/>
      <c r="T172" s="32"/>
      <c r="U172" s="32"/>
      <c r="V172" s="32"/>
      <c r="W172" s="32"/>
      <c r="X172" s="32"/>
      <c r="Y172" s="32"/>
      <c r="Z172" s="32"/>
      <c r="AA172" s="32"/>
      <c r="AB172" s="32"/>
      <c r="AC172" s="32"/>
      <c r="AD172" s="32"/>
      <c r="AE172" s="32"/>
      <c r="AF172" s="32"/>
      <c r="AG172" s="32"/>
      <c r="AH172" s="32"/>
      <c r="AI172" s="32"/>
      <c r="AJ172" s="32"/>
      <c r="AK172" s="32"/>
      <c r="AL172" s="32"/>
      <c r="AM172" s="32"/>
      <c r="AN172" s="32"/>
      <c r="AO172" s="32"/>
      <c r="AP172" s="32"/>
      <c r="AQ172" s="32"/>
      <c r="AR172" s="33"/>
      <c r="AS172" s="34"/>
      <c r="AT172" s="34"/>
      <c r="AU172" s="34"/>
      <c r="AV172" s="34"/>
      <c r="AW172" s="34"/>
      <c r="AX172" s="34"/>
      <c r="AY172" s="34"/>
      <c r="AZ172" s="35"/>
      <c r="BA172" s="36"/>
    </row>
    <row r="173" spans="1:53" s="37" customFormat="1" ht="30.75" customHeight="1">
      <c r="A173" s="123"/>
      <c r="B173" s="156"/>
      <c r="C173" s="117"/>
      <c r="D173" s="141"/>
      <c r="E173" s="21" t="s">
        <v>166</v>
      </c>
      <c r="F173" s="96">
        <f t="shared" si="58"/>
        <v>0</v>
      </c>
      <c r="G173" s="14">
        <v>0</v>
      </c>
      <c r="H173" s="14">
        <v>0</v>
      </c>
      <c r="I173" s="14">
        <v>0</v>
      </c>
      <c r="J173" s="14">
        <v>0</v>
      </c>
      <c r="K173" s="14">
        <v>0</v>
      </c>
      <c r="L173" s="14">
        <v>0</v>
      </c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  <c r="AA173" s="32"/>
      <c r="AB173" s="32"/>
      <c r="AC173" s="32"/>
      <c r="AD173" s="32"/>
      <c r="AE173" s="32"/>
      <c r="AF173" s="32"/>
      <c r="AG173" s="32"/>
      <c r="AH173" s="32"/>
      <c r="AI173" s="32"/>
      <c r="AJ173" s="32"/>
      <c r="AK173" s="32"/>
      <c r="AL173" s="32"/>
      <c r="AM173" s="32"/>
      <c r="AN173" s="32"/>
      <c r="AO173" s="32"/>
      <c r="AP173" s="32"/>
      <c r="AQ173" s="32"/>
      <c r="AR173" s="33"/>
      <c r="AS173" s="34"/>
      <c r="AT173" s="34"/>
      <c r="AU173" s="34"/>
      <c r="AV173" s="34"/>
      <c r="AW173" s="34"/>
      <c r="AX173" s="34"/>
      <c r="AY173" s="34"/>
      <c r="AZ173" s="35"/>
      <c r="BA173" s="36"/>
    </row>
    <row r="174" spans="1:53" s="37" customFormat="1" ht="21.75" customHeight="1">
      <c r="A174" s="123"/>
      <c r="B174" s="156"/>
      <c r="C174" s="117"/>
      <c r="D174" s="141"/>
      <c r="E174" s="22" t="s">
        <v>56</v>
      </c>
      <c r="F174" s="96">
        <f t="shared" si="58"/>
        <v>0</v>
      </c>
      <c r="G174" s="14">
        <v>0</v>
      </c>
      <c r="H174" s="14">
        <v>0</v>
      </c>
      <c r="I174" s="14">
        <v>0</v>
      </c>
      <c r="J174" s="14">
        <v>0</v>
      </c>
      <c r="K174" s="14">
        <v>0</v>
      </c>
      <c r="L174" s="14">
        <v>0</v>
      </c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  <c r="AF174" s="32"/>
      <c r="AG174" s="32"/>
      <c r="AH174" s="32"/>
      <c r="AI174" s="32"/>
      <c r="AJ174" s="32"/>
      <c r="AK174" s="32"/>
      <c r="AL174" s="32"/>
      <c r="AM174" s="32"/>
      <c r="AN174" s="32"/>
      <c r="AO174" s="32"/>
      <c r="AP174" s="32"/>
      <c r="AQ174" s="32"/>
      <c r="AR174" s="33"/>
      <c r="AS174" s="34"/>
      <c r="AT174" s="34"/>
      <c r="AU174" s="34"/>
      <c r="AV174" s="34"/>
      <c r="AW174" s="34"/>
      <c r="AX174" s="34"/>
      <c r="AY174" s="34"/>
      <c r="AZ174" s="35"/>
      <c r="BA174" s="36"/>
    </row>
    <row r="175" spans="1:53" s="37" customFormat="1" ht="21.75" customHeight="1">
      <c r="A175" s="123"/>
      <c r="B175" s="156"/>
      <c r="C175" s="117"/>
      <c r="D175" s="141"/>
      <c r="E175" s="22" t="s">
        <v>57</v>
      </c>
      <c r="F175" s="96">
        <f t="shared" si="58"/>
        <v>202381.65421000001</v>
      </c>
      <c r="G175" s="14">
        <f>26465.209-457.031+221.20565</f>
        <v>26229.38365</v>
      </c>
      <c r="H175" s="14">
        <f>31748.868</f>
        <v>31748.867999999999</v>
      </c>
      <c r="I175" s="15">
        <f>32778.152+49.3333</f>
        <v>32827.4853</v>
      </c>
      <c r="J175" s="15">
        <f>36371.37267+46</f>
        <v>36417.372669999997</v>
      </c>
      <c r="K175" s="15">
        <f>36551.295-0.31949</f>
        <v>36550.975509999997</v>
      </c>
      <c r="L175" s="15">
        <f>38607.904-0.33492</f>
        <v>38607.569080000001</v>
      </c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F175" s="32"/>
      <c r="AG175" s="32"/>
      <c r="AH175" s="32"/>
      <c r="AI175" s="32"/>
      <c r="AJ175" s="32"/>
      <c r="AK175" s="32"/>
      <c r="AL175" s="32"/>
      <c r="AM175" s="32"/>
      <c r="AN175" s="32"/>
      <c r="AO175" s="32"/>
      <c r="AP175" s="32"/>
      <c r="AQ175" s="32"/>
      <c r="AR175" s="33"/>
      <c r="AS175" s="34"/>
      <c r="AT175" s="34"/>
      <c r="AU175" s="34"/>
      <c r="AV175" s="34"/>
      <c r="AW175" s="34"/>
      <c r="AX175" s="34"/>
      <c r="AY175" s="34"/>
      <c r="AZ175" s="35"/>
      <c r="BA175" s="36"/>
    </row>
    <row r="176" spans="1:53" s="53" customFormat="1" ht="21.75" customHeight="1">
      <c r="A176" s="124"/>
      <c r="B176" s="157"/>
      <c r="C176" s="118"/>
      <c r="D176" s="142"/>
      <c r="E176" s="22" t="s">
        <v>58</v>
      </c>
      <c r="F176" s="96">
        <f t="shared" si="58"/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28"/>
      <c r="AL176" s="28"/>
      <c r="AM176" s="28"/>
      <c r="AN176" s="28"/>
      <c r="AO176" s="28"/>
      <c r="AP176" s="28"/>
      <c r="AQ176" s="28"/>
      <c r="AR176" s="49"/>
      <c r="AS176" s="50"/>
      <c r="AT176" s="50"/>
      <c r="AU176" s="50"/>
      <c r="AV176" s="50"/>
      <c r="AW176" s="50"/>
      <c r="AX176" s="50"/>
      <c r="AY176" s="50"/>
      <c r="AZ176" s="51"/>
      <c r="BA176" s="52"/>
    </row>
    <row r="177" spans="1:53" s="53" customFormat="1" ht="21.75" customHeight="1">
      <c r="A177" s="122" t="s">
        <v>102</v>
      </c>
      <c r="B177" s="102" t="s">
        <v>105</v>
      </c>
      <c r="C177" s="105" t="s">
        <v>190</v>
      </c>
      <c r="D177" s="99" t="s">
        <v>158</v>
      </c>
      <c r="E177" s="22" t="s">
        <v>47</v>
      </c>
      <c r="F177" s="96">
        <f t="shared" si="58"/>
        <v>2012.1311500000002</v>
      </c>
      <c r="G177" s="90">
        <f>G178+G180+G181+G182</f>
        <v>352.99927000000002</v>
      </c>
      <c r="H177" s="90">
        <f>H178+H180+H181+H182</f>
        <v>360.67995999999999</v>
      </c>
      <c r="I177" s="90">
        <f>I178+I180+I181+I182</f>
        <v>321.53231</v>
      </c>
      <c r="J177" s="90">
        <f>J178+J180+J181+J182</f>
        <v>322.50401999999997</v>
      </c>
      <c r="K177" s="90">
        <f t="shared" ref="K177:L177" si="64">K178+K180+K181+K182</f>
        <v>319.49086999999997</v>
      </c>
      <c r="L177" s="90">
        <f t="shared" si="64"/>
        <v>334.92472000000004</v>
      </c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28"/>
      <c r="AL177" s="28"/>
      <c r="AM177" s="28"/>
      <c r="AN177" s="28"/>
      <c r="AO177" s="28"/>
      <c r="AP177" s="28"/>
      <c r="AQ177" s="28"/>
      <c r="AR177" s="49"/>
      <c r="AS177" s="50"/>
      <c r="AT177" s="50"/>
      <c r="AU177" s="50"/>
      <c r="AV177" s="50"/>
      <c r="AW177" s="50"/>
      <c r="AX177" s="50"/>
      <c r="AY177" s="50"/>
      <c r="AZ177" s="51"/>
      <c r="BA177" s="52"/>
    </row>
    <row r="178" spans="1:53" s="53" customFormat="1" ht="21.75" customHeight="1">
      <c r="A178" s="123"/>
      <c r="B178" s="125"/>
      <c r="C178" s="106"/>
      <c r="D178" s="114"/>
      <c r="E178" s="22" t="s">
        <v>55</v>
      </c>
      <c r="F178" s="96">
        <f t="shared" si="58"/>
        <v>1900.0649199999998</v>
      </c>
      <c r="G178" s="14">
        <v>335.34931</v>
      </c>
      <c r="H178" s="66">
        <v>342.30331999999999</v>
      </c>
      <c r="I178" s="14">
        <v>305.15024</v>
      </c>
      <c r="J178" s="68">
        <f>300.2152+5.85724</f>
        <v>306.07243999999997</v>
      </c>
      <c r="K178" s="68">
        <v>300.02109999999999</v>
      </c>
      <c r="L178" s="68">
        <v>311.16851000000003</v>
      </c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28"/>
      <c r="AL178" s="28"/>
      <c r="AM178" s="28"/>
      <c r="AN178" s="28"/>
      <c r="AO178" s="28"/>
      <c r="AP178" s="28"/>
      <c r="AQ178" s="28"/>
      <c r="AR178" s="49"/>
      <c r="AS178" s="50"/>
      <c r="AT178" s="50"/>
      <c r="AU178" s="50"/>
      <c r="AV178" s="50"/>
      <c r="AW178" s="50"/>
      <c r="AX178" s="50"/>
      <c r="AY178" s="50"/>
      <c r="AZ178" s="51"/>
      <c r="BA178" s="52"/>
    </row>
    <row r="179" spans="1:53" s="53" customFormat="1" ht="26.25" customHeight="1">
      <c r="A179" s="123"/>
      <c r="B179" s="125"/>
      <c r="C179" s="106"/>
      <c r="D179" s="114"/>
      <c r="E179" s="21" t="s">
        <v>166</v>
      </c>
      <c r="F179" s="96">
        <f t="shared" si="58"/>
        <v>0</v>
      </c>
      <c r="G179" s="14">
        <v>0</v>
      </c>
      <c r="H179" s="14">
        <v>0</v>
      </c>
      <c r="I179" s="14">
        <v>0</v>
      </c>
      <c r="J179" s="68">
        <v>0</v>
      </c>
      <c r="K179" s="68"/>
      <c r="L179" s="6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49"/>
      <c r="AS179" s="50"/>
      <c r="AT179" s="50"/>
      <c r="AU179" s="50"/>
      <c r="AV179" s="50"/>
      <c r="AW179" s="50"/>
      <c r="AX179" s="50"/>
      <c r="AY179" s="50"/>
      <c r="AZ179" s="51"/>
      <c r="BA179" s="52"/>
    </row>
    <row r="180" spans="1:53" s="53" customFormat="1" ht="21.75" customHeight="1">
      <c r="A180" s="123"/>
      <c r="B180" s="125"/>
      <c r="C180" s="106"/>
      <c r="D180" s="114"/>
      <c r="E180" s="22" t="s">
        <v>56</v>
      </c>
      <c r="F180" s="96">
        <f t="shared" si="58"/>
        <v>110.40711</v>
      </c>
      <c r="G180" s="14">
        <v>17.64996</v>
      </c>
      <c r="H180" s="66">
        <v>18.01596</v>
      </c>
      <c r="I180" s="14">
        <v>16.06054</v>
      </c>
      <c r="J180" s="68">
        <f>15.8008+0.30828</f>
        <v>16.109080000000002</v>
      </c>
      <c r="K180" s="68">
        <v>19.150279999999999</v>
      </c>
      <c r="L180" s="68">
        <v>23.421289999999999</v>
      </c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49"/>
      <c r="AS180" s="50"/>
      <c r="AT180" s="50"/>
      <c r="AU180" s="50"/>
      <c r="AV180" s="50"/>
      <c r="AW180" s="50"/>
      <c r="AX180" s="50"/>
      <c r="AY180" s="50"/>
      <c r="AZ180" s="51"/>
      <c r="BA180" s="52"/>
    </row>
    <row r="181" spans="1:53" s="53" customFormat="1" ht="21.75" customHeight="1">
      <c r="A181" s="123"/>
      <c r="B181" s="125"/>
      <c r="C181" s="106"/>
      <c r="D181" s="114"/>
      <c r="E181" s="22" t="s">
        <v>57</v>
      </c>
      <c r="F181" s="96">
        <f t="shared" si="58"/>
        <v>1.6591200000000002</v>
      </c>
      <c r="G181" s="14">
        <v>0</v>
      </c>
      <c r="H181" s="66">
        <v>0.36068</v>
      </c>
      <c r="I181" s="68">
        <v>0.32152999999999998</v>
      </c>
      <c r="J181" s="68">
        <f>0.31633+0.00617</f>
        <v>0.32250000000000001</v>
      </c>
      <c r="K181" s="15">
        <v>0.31949</v>
      </c>
      <c r="L181" s="15">
        <v>0.33492</v>
      </c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28"/>
      <c r="AK181" s="28"/>
      <c r="AL181" s="28"/>
      <c r="AM181" s="28"/>
      <c r="AN181" s="28"/>
      <c r="AO181" s="28"/>
      <c r="AP181" s="28"/>
      <c r="AQ181" s="28"/>
      <c r="AR181" s="49"/>
      <c r="AS181" s="50"/>
      <c r="AT181" s="50"/>
      <c r="AU181" s="50"/>
      <c r="AV181" s="50"/>
      <c r="AW181" s="50"/>
      <c r="AX181" s="50"/>
      <c r="AY181" s="50"/>
      <c r="AZ181" s="51"/>
      <c r="BA181" s="52"/>
    </row>
    <row r="182" spans="1:53" s="53" customFormat="1" ht="21.75" customHeight="1">
      <c r="A182" s="124"/>
      <c r="B182" s="126"/>
      <c r="C182" s="107"/>
      <c r="D182" s="115"/>
      <c r="E182" s="22" t="s">
        <v>58</v>
      </c>
      <c r="F182" s="96">
        <f t="shared" si="58"/>
        <v>0</v>
      </c>
      <c r="G182" s="14">
        <v>0</v>
      </c>
      <c r="H182" s="14">
        <v>0</v>
      </c>
      <c r="I182" s="14">
        <v>0</v>
      </c>
      <c r="J182" s="14">
        <v>0</v>
      </c>
      <c r="K182" s="14">
        <v>0</v>
      </c>
      <c r="L182" s="14">
        <v>0</v>
      </c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49"/>
      <c r="AS182" s="50"/>
      <c r="AT182" s="50"/>
      <c r="AU182" s="50"/>
      <c r="AV182" s="50"/>
      <c r="AW182" s="50"/>
      <c r="AX182" s="50"/>
      <c r="AY182" s="50"/>
      <c r="AZ182" s="51"/>
      <c r="BA182" s="52"/>
    </row>
    <row r="183" spans="1:53" s="53" customFormat="1" ht="21.75" customHeight="1">
      <c r="A183" s="122" t="s">
        <v>104</v>
      </c>
      <c r="B183" s="102" t="s">
        <v>125</v>
      </c>
      <c r="C183" s="116" t="s">
        <v>185</v>
      </c>
      <c r="D183" s="99" t="s">
        <v>161</v>
      </c>
      <c r="E183" s="22" t="s">
        <v>47</v>
      </c>
      <c r="F183" s="96">
        <f t="shared" si="58"/>
        <v>1174.92</v>
      </c>
      <c r="G183" s="90">
        <f t="shared" ref="G183" si="65">SUM(G184:G188)</f>
        <v>475.89</v>
      </c>
      <c r="H183" s="90">
        <f>SUM(H184:H188)</f>
        <v>356.5</v>
      </c>
      <c r="I183" s="90">
        <f t="shared" ref="I183:J183" si="66">SUM(I184:I188)</f>
        <v>151.53</v>
      </c>
      <c r="J183" s="90">
        <f t="shared" si="66"/>
        <v>191</v>
      </c>
      <c r="K183" s="90">
        <f t="shared" ref="K183:L183" si="67">SUM(K184:K188)</f>
        <v>0</v>
      </c>
      <c r="L183" s="90">
        <f t="shared" si="67"/>
        <v>0</v>
      </c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28"/>
      <c r="AL183" s="28"/>
      <c r="AM183" s="28"/>
      <c r="AN183" s="28"/>
      <c r="AO183" s="28"/>
      <c r="AP183" s="28"/>
      <c r="AQ183" s="28"/>
      <c r="AR183" s="49"/>
      <c r="AS183" s="50"/>
      <c r="AT183" s="50"/>
      <c r="AU183" s="50"/>
      <c r="AV183" s="50"/>
      <c r="AW183" s="50"/>
      <c r="AX183" s="50"/>
      <c r="AY183" s="50"/>
      <c r="AZ183" s="51"/>
      <c r="BA183" s="52"/>
    </row>
    <row r="184" spans="1:53" s="53" customFormat="1" ht="21.75" customHeight="1">
      <c r="A184" s="123"/>
      <c r="B184" s="125"/>
      <c r="C184" s="117"/>
      <c r="D184" s="114"/>
      <c r="E184" s="22" t="s">
        <v>55</v>
      </c>
      <c r="F184" s="96">
        <f t="shared" si="58"/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49"/>
      <c r="AS184" s="50"/>
      <c r="AT184" s="50"/>
      <c r="AU184" s="50"/>
      <c r="AV184" s="50"/>
      <c r="AW184" s="50"/>
      <c r="AX184" s="50"/>
      <c r="AY184" s="50"/>
      <c r="AZ184" s="51"/>
      <c r="BA184" s="52"/>
    </row>
    <row r="185" spans="1:53" s="53" customFormat="1" ht="27.75" customHeight="1">
      <c r="A185" s="123"/>
      <c r="B185" s="125"/>
      <c r="C185" s="117"/>
      <c r="D185" s="114"/>
      <c r="E185" s="21" t="s">
        <v>166</v>
      </c>
      <c r="F185" s="96">
        <f t="shared" si="58"/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49"/>
      <c r="AS185" s="50"/>
      <c r="AT185" s="50"/>
      <c r="AU185" s="50"/>
      <c r="AV185" s="50"/>
      <c r="AW185" s="50"/>
      <c r="AX185" s="50"/>
      <c r="AY185" s="50"/>
      <c r="AZ185" s="51"/>
      <c r="BA185" s="52"/>
    </row>
    <row r="186" spans="1:53" s="53" customFormat="1" ht="21.75" customHeight="1">
      <c r="A186" s="123"/>
      <c r="B186" s="125"/>
      <c r="C186" s="117"/>
      <c r="D186" s="114"/>
      <c r="E186" s="22" t="s">
        <v>56</v>
      </c>
      <c r="F186" s="96">
        <f t="shared" si="58"/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28"/>
      <c r="AI186" s="28"/>
      <c r="AJ186" s="28"/>
      <c r="AK186" s="28"/>
      <c r="AL186" s="28"/>
      <c r="AM186" s="28"/>
      <c r="AN186" s="28"/>
      <c r="AO186" s="28"/>
      <c r="AP186" s="28"/>
      <c r="AQ186" s="28"/>
      <c r="AR186" s="49"/>
      <c r="AS186" s="50"/>
      <c r="AT186" s="50"/>
      <c r="AU186" s="50"/>
      <c r="AV186" s="50"/>
      <c r="AW186" s="50"/>
      <c r="AX186" s="50"/>
      <c r="AY186" s="50"/>
      <c r="AZ186" s="51"/>
      <c r="BA186" s="52"/>
    </row>
    <row r="187" spans="1:53" s="53" customFormat="1" ht="21.75" customHeight="1">
      <c r="A187" s="123"/>
      <c r="B187" s="125"/>
      <c r="C187" s="117"/>
      <c r="D187" s="114"/>
      <c r="E187" s="22" t="s">
        <v>57</v>
      </c>
      <c r="F187" s="96">
        <f t="shared" si="58"/>
        <v>1174.92</v>
      </c>
      <c r="G187" s="15">
        <f>475.89</f>
        <v>475.89</v>
      </c>
      <c r="H187" s="14">
        <v>356.5</v>
      </c>
      <c r="I187" s="14">
        <v>151.53</v>
      </c>
      <c r="J187" s="14">
        <v>191</v>
      </c>
      <c r="K187" s="14">
        <v>0</v>
      </c>
      <c r="L187" s="14">
        <v>0</v>
      </c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  <c r="AH187" s="28"/>
      <c r="AI187" s="28"/>
      <c r="AJ187" s="28"/>
      <c r="AK187" s="28"/>
      <c r="AL187" s="28"/>
      <c r="AM187" s="28"/>
      <c r="AN187" s="28"/>
      <c r="AO187" s="28"/>
      <c r="AP187" s="28"/>
      <c r="AQ187" s="28"/>
      <c r="AR187" s="49"/>
      <c r="AS187" s="50"/>
      <c r="AT187" s="50"/>
      <c r="AU187" s="50"/>
      <c r="AV187" s="50"/>
      <c r="AW187" s="50"/>
      <c r="AX187" s="50"/>
      <c r="AY187" s="50"/>
      <c r="AZ187" s="51"/>
      <c r="BA187" s="52"/>
    </row>
    <row r="188" spans="1:53" s="53" customFormat="1" ht="21.75" customHeight="1">
      <c r="A188" s="124"/>
      <c r="B188" s="126"/>
      <c r="C188" s="118"/>
      <c r="D188" s="115"/>
      <c r="E188" s="22" t="s">
        <v>58</v>
      </c>
      <c r="F188" s="96">
        <f t="shared" si="58"/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  <c r="AF188" s="28"/>
      <c r="AG188" s="28"/>
      <c r="AH188" s="28"/>
      <c r="AI188" s="28"/>
      <c r="AJ188" s="28"/>
      <c r="AK188" s="28"/>
      <c r="AL188" s="28"/>
      <c r="AM188" s="28"/>
      <c r="AN188" s="28"/>
      <c r="AO188" s="28"/>
      <c r="AP188" s="28"/>
      <c r="AQ188" s="28"/>
      <c r="AR188" s="49"/>
      <c r="AS188" s="50"/>
      <c r="AT188" s="50"/>
      <c r="AU188" s="50"/>
      <c r="AV188" s="50"/>
      <c r="AW188" s="50"/>
      <c r="AX188" s="50"/>
      <c r="AY188" s="50"/>
      <c r="AZ188" s="51"/>
      <c r="BA188" s="52"/>
    </row>
    <row r="189" spans="1:53" s="53" customFormat="1" ht="21.75" customHeight="1">
      <c r="A189" s="122" t="s">
        <v>124</v>
      </c>
      <c r="B189" s="102" t="s">
        <v>129</v>
      </c>
      <c r="C189" s="110">
        <v>2023</v>
      </c>
      <c r="D189" s="99" t="s">
        <v>87</v>
      </c>
      <c r="E189" s="22" t="s">
        <v>47</v>
      </c>
      <c r="F189" s="96">
        <f t="shared" si="58"/>
        <v>5000</v>
      </c>
      <c r="G189" s="90">
        <f t="shared" ref="G189" si="68">SUM(G190:G194)</f>
        <v>0</v>
      </c>
      <c r="H189" s="90">
        <f>SUM(H190:H194)</f>
        <v>5000</v>
      </c>
      <c r="I189" s="90">
        <f t="shared" ref="I189:J189" si="69">SUM(I190:I194)</f>
        <v>0</v>
      </c>
      <c r="J189" s="90">
        <f t="shared" si="69"/>
        <v>0</v>
      </c>
      <c r="K189" s="90">
        <f t="shared" ref="K189:L189" si="70">SUM(K190:K194)</f>
        <v>0</v>
      </c>
      <c r="L189" s="90">
        <f t="shared" si="70"/>
        <v>0</v>
      </c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  <c r="AE189" s="28"/>
      <c r="AF189" s="28"/>
      <c r="AG189" s="28"/>
      <c r="AH189" s="28"/>
      <c r="AI189" s="28"/>
      <c r="AJ189" s="28"/>
      <c r="AK189" s="28"/>
      <c r="AL189" s="28"/>
      <c r="AM189" s="28"/>
      <c r="AN189" s="28"/>
      <c r="AO189" s="28"/>
      <c r="AP189" s="28"/>
      <c r="AQ189" s="28"/>
      <c r="AR189" s="49"/>
      <c r="AS189" s="50"/>
      <c r="AT189" s="50"/>
      <c r="AU189" s="50"/>
      <c r="AV189" s="50"/>
      <c r="AW189" s="50"/>
      <c r="AX189" s="50"/>
      <c r="AY189" s="50"/>
      <c r="AZ189" s="51"/>
      <c r="BA189" s="52"/>
    </row>
    <row r="190" spans="1:53" s="53" customFormat="1" ht="21.75" customHeight="1">
      <c r="A190" s="123"/>
      <c r="B190" s="125"/>
      <c r="C190" s="127"/>
      <c r="D190" s="114"/>
      <c r="E190" s="22" t="s">
        <v>55</v>
      </c>
      <c r="F190" s="96">
        <f t="shared" si="58"/>
        <v>5000</v>
      </c>
      <c r="G190" s="14">
        <v>0</v>
      </c>
      <c r="H190" s="66">
        <v>5000</v>
      </c>
      <c r="I190" s="66"/>
      <c r="J190" s="14">
        <v>0</v>
      </c>
      <c r="K190" s="14">
        <v>0</v>
      </c>
      <c r="L190" s="14">
        <v>0</v>
      </c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  <c r="AF190" s="28"/>
      <c r="AG190" s="28"/>
      <c r="AH190" s="28"/>
      <c r="AI190" s="28"/>
      <c r="AJ190" s="28"/>
      <c r="AK190" s="28"/>
      <c r="AL190" s="28"/>
      <c r="AM190" s="28"/>
      <c r="AN190" s="28"/>
      <c r="AO190" s="28"/>
      <c r="AP190" s="28"/>
      <c r="AQ190" s="28"/>
      <c r="AR190" s="49"/>
      <c r="AS190" s="50"/>
      <c r="AT190" s="50"/>
      <c r="AU190" s="50"/>
      <c r="AV190" s="50"/>
      <c r="AW190" s="50"/>
      <c r="AX190" s="50"/>
      <c r="AY190" s="50"/>
      <c r="AZ190" s="51"/>
      <c r="BA190" s="52"/>
    </row>
    <row r="191" spans="1:53" s="53" customFormat="1" ht="29.25" customHeight="1">
      <c r="A191" s="123"/>
      <c r="B191" s="125"/>
      <c r="C191" s="127"/>
      <c r="D191" s="114"/>
      <c r="E191" s="21" t="s">
        <v>166</v>
      </c>
      <c r="F191" s="96">
        <f t="shared" ref="F191:F222" si="71">G191+H191+I191+J191+K191+L191</f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  <c r="AF191" s="28"/>
      <c r="AG191" s="28"/>
      <c r="AH191" s="28"/>
      <c r="AI191" s="28"/>
      <c r="AJ191" s="28"/>
      <c r="AK191" s="28"/>
      <c r="AL191" s="28"/>
      <c r="AM191" s="28"/>
      <c r="AN191" s="28"/>
      <c r="AO191" s="28"/>
      <c r="AP191" s="28"/>
      <c r="AQ191" s="28"/>
      <c r="AR191" s="49"/>
      <c r="AS191" s="50"/>
      <c r="AT191" s="50"/>
      <c r="AU191" s="50"/>
      <c r="AV191" s="50"/>
      <c r="AW191" s="50"/>
      <c r="AX191" s="50"/>
      <c r="AY191" s="50"/>
      <c r="AZ191" s="51"/>
      <c r="BA191" s="52"/>
    </row>
    <row r="192" spans="1:53" s="53" customFormat="1" ht="21.75" customHeight="1">
      <c r="A192" s="123"/>
      <c r="B192" s="125"/>
      <c r="C192" s="127"/>
      <c r="D192" s="114"/>
      <c r="E192" s="22" t="s">
        <v>56</v>
      </c>
      <c r="F192" s="96">
        <f t="shared" si="71"/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  <c r="AJ192" s="28"/>
      <c r="AK192" s="28"/>
      <c r="AL192" s="28"/>
      <c r="AM192" s="28"/>
      <c r="AN192" s="28"/>
      <c r="AO192" s="28"/>
      <c r="AP192" s="28"/>
      <c r="AQ192" s="28"/>
      <c r="AR192" s="49"/>
      <c r="AS192" s="50"/>
      <c r="AT192" s="50"/>
      <c r="AU192" s="50"/>
      <c r="AV192" s="50"/>
      <c r="AW192" s="50"/>
      <c r="AX192" s="50"/>
      <c r="AY192" s="50"/>
      <c r="AZ192" s="51"/>
      <c r="BA192" s="52"/>
    </row>
    <row r="193" spans="1:53" s="53" customFormat="1" ht="21.75" customHeight="1">
      <c r="A193" s="123"/>
      <c r="B193" s="125"/>
      <c r="C193" s="127"/>
      <c r="D193" s="114"/>
      <c r="E193" s="22" t="s">
        <v>57</v>
      </c>
      <c r="F193" s="96">
        <f t="shared" si="71"/>
        <v>0</v>
      </c>
      <c r="G193" s="14">
        <v>0</v>
      </c>
      <c r="H193" s="15"/>
      <c r="I193" s="14">
        <v>0</v>
      </c>
      <c r="J193" s="14">
        <v>0</v>
      </c>
      <c r="K193" s="14">
        <v>0</v>
      </c>
      <c r="L193" s="14">
        <v>0</v>
      </c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  <c r="AH193" s="28"/>
      <c r="AI193" s="28"/>
      <c r="AJ193" s="28"/>
      <c r="AK193" s="28"/>
      <c r="AL193" s="28"/>
      <c r="AM193" s="28"/>
      <c r="AN193" s="28"/>
      <c r="AO193" s="28"/>
      <c r="AP193" s="28"/>
      <c r="AQ193" s="28"/>
      <c r="AR193" s="49"/>
      <c r="AS193" s="50"/>
      <c r="AT193" s="50"/>
      <c r="AU193" s="50"/>
      <c r="AV193" s="50"/>
      <c r="AW193" s="50"/>
      <c r="AX193" s="50"/>
      <c r="AY193" s="50"/>
      <c r="AZ193" s="51"/>
      <c r="BA193" s="52"/>
    </row>
    <row r="194" spans="1:53" s="53" customFormat="1" ht="21.75" customHeight="1">
      <c r="A194" s="124"/>
      <c r="B194" s="126"/>
      <c r="C194" s="111"/>
      <c r="D194" s="115"/>
      <c r="E194" s="22" t="s">
        <v>58</v>
      </c>
      <c r="F194" s="96">
        <f t="shared" si="71"/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  <c r="AC194" s="28"/>
      <c r="AD194" s="28"/>
      <c r="AE194" s="28"/>
      <c r="AF194" s="28"/>
      <c r="AG194" s="28"/>
      <c r="AH194" s="28"/>
      <c r="AI194" s="28"/>
      <c r="AJ194" s="28"/>
      <c r="AK194" s="28"/>
      <c r="AL194" s="28"/>
      <c r="AM194" s="28"/>
      <c r="AN194" s="28"/>
      <c r="AO194" s="28"/>
      <c r="AP194" s="28"/>
      <c r="AQ194" s="28"/>
      <c r="AR194" s="49"/>
      <c r="AS194" s="50"/>
      <c r="AT194" s="50"/>
      <c r="AU194" s="50"/>
      <c r="AV194" s="50"/>
      <c r="AW194" s="50"/>
      <c r="AX194" s="50"/>
      <c r="AY194" s="50"/>
      <c r="AZ194" s="51"/>
      <c r="BA194" s="52"/>
    </row>
    <row r="195" spans="1:53" s="37" customFormat="1" ht="21.75" customHeight="1">
      <c r="A195" s="122" t="s">
        <v>78</v>
      </c>
      <c r="B195" s="122" t="s">
        <v>85</v>
      </c>
      <c r="C195" s="116" t="s">
        <v>184</v>
      </c>
      <c r="D195" s="99" t="s">
        <v>178</v>
      </c>
      <c r="E195" s="22" t="s">
        <v>47</v>
      </c>
      <c r="F195" s="96">
        <f t="shared" si="71"/>
        <v>125559.76226</v>
      </c>
      <c r="G195" s="90">
        <f>G201+G213+G219+G207+G225+G231</f>
        <v>57907.921260000003</v>
      </c>
      <c r="H195" s="90">
        <f>H201+H213+H219+H207+H225+H231+H237+H243+H250+H257</f>
        <v>9023.2910799999991</v>
      </c>
      <c r="I195" s="90">
        <f>I201+I213+I219+I207+I225+I231+I237+I243+I250+I257</f>
        <v>23072.537600000003</v>
      </c>
      <c r="J195" s="90">
        <f>J201+J213+J250+J264+J271</f>
        <v>24907.065499999997</v>
      </c>
      <c r="K195" s="92">
        <f>K264</f>
        <v>10648.946820000001</v>
      </c>
      <c r="L195" s="92"/>
      <c r="M195" s="32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  <c r="AA195" s="32"/>
      <c r="AB195" s="32"/>
      <c r="AC195" s="32"/>
      <c r="AD195" s="32"/>
      <c r="AE195" s="32"/>
      <c r="AF195" s="32"/>
      <c r="AG195" s="32"/>
      <c r="AH195" s="32"/>
      <c r="AI195" s="32"/>
      <c r="AJ195" s="32"/>
      <c r="AK195" s="32"/>
      <c r="AL195" s="32"/>
      <c r="AM195" s="32"/>
      <c r="AN195" s="32"/>
      <c r="AO195" s="32"/>
      <c r="AP195" s="32"/>
      <c r="AQ195" s="32"/>
      <c r="AR195" s="33"/>
      <c r="AS195" s="34"/>
      <c r="AT195" s="34"/>
      <c r="AU195" s="34"/>
      <c r="AV195" s="34"/>
      <c r="AW195" s="34"/>
      <c r="AX195" s="34"/>
      <c r="AY195" s="34"/>
      <c r="AZ195" s="35"/>
      <c r="BA195" s="36"/>
    </row>
    <row r="196" spans="1:53" s="37" customFormat="1" ht="21.75" customHeight="1">
      <c r="A196" s="123"/>
      <c r="B196" s="123"/>
      <c r="C196" s="117"/>
      <c r="D196" s="108"/>
      <c r="E196" s="22" t="s">
        <v>55</v>
      </c>
      <c r="F196" s="96">
        <f t="shared" si="71"/>
        <v>32780.1</v>
      </c>
      <c r="G196" s="90">
        <f t="shared" ref="G196:H196" si="72">G202+G214+G220+G208+G226+G232</f>
        <v>21</v>
      </c>
      <c r="H196" s="90">
        <f t="shared" si="72"/>
        <v>0</v>
      </c>
      <c r="I196" s="90">
        <f>I202+I214+I220+I208+I226+I232+I238+I244+I251+I258</f>
        <v>7</v>
      </c>
      <c r="J196" s="90">
        <f>J265+J272</f>
        <v>22752.1</v>
      </c>
      <c r="K196" s="92">
        <f>K265</f>
        <v>10000</v>
      </c>
      <c r="L196" s="92"/>
      <c r="M196" s="32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32"/>
      <c r="Z196" s="32"/>
      <c r="AA196" s="32"/>
      <c r="AB196" s="32"/>
      <c r="AC196" s="32"/>
      <c r="AD196" s="32"/>
      <c r="AE196" s="32"/>
      <c r="AF196" s="32"/>
      <c r="AG196" s="32"/>
      <c r="AH196" s="32"/>
      <c r="AI196" s="32"/>
      <c r="AJ196" s="32"/>
      <c r="AK196" s="32"/>
      <c r="AL196" s="32"/>
      <c r="AM196" s="32"/>
      <c r="AN196" s="32"/>
      <c r="AO196" s="32"/>
      <c r="AP196" s="32"/>
      <c r="AQ196" s="32"/>
      <c r="AR196" s="33"/>
      <c r="AS196" s="34"/>
      <c r="AT196" s="34"/>
      <c r="AU196" s="34"/>
      <c r="AV196" s="34"/>
      <c r="AW196" s="34"/>
      <c r="AX196" s="34"/>
      <c r="AY196" s="34"/>
      <c r="AZ196" s="35"/>
      <c r="BA196" s="36"/>
    </row>
    <row r="197" spans="1:53" s="37" customFormat="1" ht="30.75" customHeight="1">
      <c r="A197" s="123"/>
      <c r="B197" s="123"/>
      <c r="C197" s="117"/>
      <c r="D197" s="108"/>
      <c r="E197" s="21" t="s">
        <v>166</v>
      </c>
      <c r="F197" s="96">
        <f t="shared" si="71"/>
        <v>6956.5592800000004</v>
      </c>
      <c r="G197" s="90">
        <v>0</v>
      </c>
      <c r="H197" s="90">
        <v>0</v>
      </c>
      <c r="I197" s="90">
        <f>I245</f>
        <v>6956.5592800000004</v>
      </c>
      <c r="J197" s="90">
        <f>J203+J209+J215+J221+J227+J233+J239+J245</f>
        <v>0</v>
      </c>
      <c r="K197" s="90">
        <v>0</v>
      </c>
      <c r="L197" s="90">
        <v>0</v>
      </c>
      <c r="M197" s="32"/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32"/>
      <c r="Y197" s="32"/>
      <c r="Z197" s="32"/>
      <c r="AA197" s="32"/>
      <c r="AB197" s="32"/>
      <c r="AC197" s="32"/>
      <c r="AD197" s="32"/>
      <c r="AE197" s="32"/>
      <c r="AF197" s="32"/>
      <c r="AG197" s="32"/>
      <c r="AH197" s="32"/>
      <c r="AI197" s="32"/>
      <c r="AJ197" s="32"/>
      <c r="AK197" s="32"/>
      <c r="AL197" s="32"/>
      <c r="AM197" s="32"/>
      <c r="AN197" s="32"/>
      <c r="AO197" s="32"/>
      <c r="AP197" s="32"/>
      <c r="AQ197" s="32"/>
      <c r="AR197" s="33"/>
      <c r="AS197" s="34"/>
      <c r="AT197" s="34"/>
      <c r="AU197" s="34"/>
      <c r="AV197" s="34"/>
      <c r="AW197" s="34"/>
      <c r="AX197" s="34"/>
      <c r="AY197" s="34"/>
      <c r="AZ197" s="35"/>
      <c r="BA197" s="36"/>
    </row>
    <row r="198" spans="1:53" s="37" customFormat="1" ht="21.75" customHeight="1">
      <c r="A198" s="123"/>
      <c r="B198" s="123"/>
      <c r="C198" s="117"/>
      <c r="D198" s="108"/>
      <c r="E198" s="22" t="s">
        <v>56</v>
      </c>
      <c r="F198" s="96">
        <f t="shared" si="71"/>
        <v>29702.593580000001</v>
      </c>
      <c r="G198" s="90">
        <f t="shared" ref="G198" si="73">G204+G216+G222+G210+G228+G234</f>
        <v>13350.20126</v>
      </c>
      <c r="H198" s="90">
        <f>H204+H216+H222+H210+H228+H234</f>
        <v>679.34127999999998</v>
      </c>
      <c r="I198" s="90">
        <f>I204+I216+I222+I210+I228+I234+I240+I246+I253+I260</f>
        <v>13837.274220000001</v>
      </c>
      <c r="J198" s="90">
        <f>J267+J274</f>
        <v>1197.4789500000002</v>
      </c>
      <c r="K198" s="92">
        <f>K267</f>
        <v>638.29786999999999</v>
      </c>
      <c r="L198" s="9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2"/>
      <c r="AA198" s="32"/>
      <c r="AB198" s="32"/>
      <c r="AC198" s="32"/>
      <c r="AD198" s="32"/>
      <c r="AE198" s="32"/>
      <c r="AF198" s="32"/>
      <c r="AG198" s="32"/>
      <c r="AH198" s="32"/>
      <c r="AI198" s="32"/>
      <c r="AJ198" s="32"/>
      <c r="AK198" s="32"/>
      <c r="AL198" s="32"/>
      <c r="AM198" s="32"/>
      <c r="AN198" s="32"/>
      <c r="AO198" s="32"/>
      <c r="AP198" s="32"/>
      <c r="AQ198" s="32"/>
      <c r="AR198" s="33"/>
      <c r="AS198" s="34"/>
      <c r="AT198" s="34"/>
      <c r="AU198" s="34"/>
      <c r="AV198" s="34"/>
      <c r="AW198" s="34"/>
      <c r="AX198" s="34"/>
      <c r="AY198" s="34"/>
      <c r="AZ198" s="35"/>
      <c r="BA198" s="36"/>
    </row>
    <row r="199" spans="1:53" s="37" customFormat="1" ht="21.75" customHeight="1">
      <c r="A199" s="123"/>
      <c r="B199" s="123"/>
      <c r="C199" s="117"/>
      <c r="D199" s="108"/>
      <c r="E199" s="22" t="s">
        <v>57</v>
      </c>
      <c r="F199" s="96">
        <f t="shared" si="71"/>
        <v>56120.50940000001</v>
      </c>
      <c r="G199" s="90">
        <f t="shared" ref="G199" si="74">G205+G217+G223+G211+G229+G235</f>
        <v>44536.72</v>
      </c>
      <c r="H199" s="90">
        <f>H205+H217+H223+H211+H229+H235+H241+H247+H254+H261</f>
        <v>8343.9497999999985</v>
      </c>
      <c r="I199" s="90">
        <f>I205+I217+I223+I211+I229+I235+I241+I247+I254+I261</f>
        <v>2271.7040999999999</v>
      </c>
      <c r="J199" s="90">
        <f>J217+J254+J268+J275</f>
        <v>957.48654999999997</v>
      </c>
      <c r="K199" s="92">
        <f>K268</f>
        <v>10.648949999999999</v>
      </c>
      <c r="L199" s="92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2"/>
      <c r="AA199" s="32"/>
      <c r="AB199" s="32"/>
      <c r="AC199" s="32"/>
      <c r="AD199" s="32"/>
      <c r="AE199" s="32"/>
      <c r="AF199" s="32"/>
      <c r="AG199" s="32"/>
      <c r="AH199" s="32"/>
      <c r="AI199" s="32"/>
      <c r="AJ199" s="32"/>
      <c r="AK199" s="32"/>
      <c r="AL199" s="32"/>
      <c r="AM199" s="32"/>
      <c r="AN199" s="32"/>
      <c r="AO199" s="32"/>
      <c r="AP199" s="32"/>
      <c r="AQ199" s="32"/>
      <c r="AR199" s="33"/>
      <c r="AS199" s="34"/>
      <c r="AT199" s="34"/>
      <c r="AU199" s="34"/>
      <c r="AV199" s="34"/>
      <c r="AW199" s="34"/>
      <c r="AX199" s="34"/>
      <c r="AY199" s="34"/>
      <c r="AZ199" s="35"/>
      <c r="BA199" s="36"/>
    </row>
    <row r="200" spans="1:53" s="53" customFormat="1" ht="103.5" customHeight="1">
      <c r="A200" s="124"/>
      <c r="B200" s="124"/>
      <c r="C200" s="118"/>
      <c r="D200" s="109"/>
      <c r="E200" s="22" t="s">
        <v>58</v>
      </c>
      <c r="F200" s="96">
        <f t="shared" si="71"/>
        <v>0</v>
      </c>
      <c r="G200" s="90">
        <f>G206+G218+G224+G212+G230+G236</f>
        <v>0</v>
      </c>
      <c r="H200" s="90">
        <f>H206+H218+H224+H212+H230+H236</f>
        <v>0</v>
      </c>
      <c r="I200" s="90">
        <f>I206+I218+I224+I212+I230+I236</f>
        <v>0</v>
      </c>
      <c r="J200" s="90">
        <f>J206+J218+J224+J212+J230+J236</f>
        <v>0</v>
      </c>
      <c r="K200" s="92">
        <f>K206+K218+K224+K212+K230+K236</f>
        <v>0</v>
      </c>
      <c r="L200" s="92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  <c r="AH200" s="28"/>
      <c r="AI200" s="28"/>
      <c r="AJ200" s="28"/>
      <c r="AK200" s="28"/>
      <c r="AL200" s="28"/>
      <c r="AM200" s="28"/>
      <c r="AN200" s="28"/>
      <c r="AO200" s="28"/>
      <c r="AP200" s="28"/>
      <c r="AQ200" s="28"/>
      <c r="AR200" s="49"/>
      <c r="AS200" s="50"/>
      <c r="AT200" s="50"/>
      <c r="AU200" s="50"/>
      <c r="AV200" s="50"/>
      <c r="AW200" s="50"/>
      <c r="AX200" s="50"/>
      <c r="AY200" s="50"/>
      <c r="AZ200" s="51"/>
      <c r="BA200" s="52"/>
    </row>
    <row r="201" spans="1:53" s="37" customFormat="1" ht="21.75" customHeight="1">
      <c r="A201" s="99" t="s">
        <v>25</v>
      </c>
      <c r="B201" s="102" t="s">
        <v>108</v>
      </c>
      <c r="C201" s="116" t="s">
        <v>168</v>
      </c>
      <c r="D201" s="99" t="s">
        <v>174</v>
      </c>
      <c r="E201" s="22" t="s">
        <v>47</v>
      </c>
      <c r="F201" s="96">
        <f t="shared" si="71"/>
        <v>29.481060000000003</v>
      </c>
      <c r="G201" s="90">
        <f t="shared" ref="G201:L201" si="75">G202+G204+G205+G206</f>
        <v>22.105260000000001</v>
      </c>
      <c r="H201" s="90">
        <f t="shared" si="75"/>
        <v>0</v>
      </c>
      <c r="I201" s="90">
        <f t="shared" si="75"/>
        <v>7.3758000000000008</v>
      </c>
      <c r="J201" s="90">
        <f t="shared" si="75"/>
        <v>0</v>
      </c>
      <c r="K201" s="90">
        <f t="shared" si="75"/>
        <v>0</v>
      </c>
      <c r="L201" s="90">
        <f t="shared" si="75"/>
        <v>0</v>
      </c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2"/>
      <c r="AA201" s="32"/>
      <c r="AB201" s="32"/>
      <c r="AC201" s="32"/>
      <c r="AD201" s="32"/>
      <c r="AE201" s="32"/>
      <c r="AF201" s="32"/>
      <c r="AG201" s="32"/>
      <c r="AH201" s="32"/>
      <c r="AI201" s="32"/>
      <c r="AJ201" s="32"/>
      <c r="AK201" s="32"/>
      <c r="AL201" s="32"/>
      <c r="AM201" s="32"/>
      <c r="AN201" s="32"/>
      <c r="AO201" s="32"/>
      <c r="AP201" s="32"/>
      <c r="AQ201" s="32"/>
      <c r="AR201" s="33"/>
      <c r="AS201" s="34"/>
      <c r="AT201" s="34"/>
      <c r="AU201" s="34"/>
      <c r="AV201" s="34"/>
      <c r="AW201" s="34"/>
      <c r="AX201" s="34"/>
      <c r="AY201" s="34"/>
      <c r="AZ201" s="35"/>
      <c r="BA201" s="36"/>
    </row>
    <row r="202" spans="1:53" s="37" customFormat="1" ht="21.75" customHeight="1">
      <c r="A202" s="100"/>
      <c r="B202" s="103"/>
      <c r="C202" s="117"/>
      <c r="D202" s="108"/>
      <c r="E202" s="22" t="s">
        <v>55</v>
      </c>
      <c r="F202" s="96">
        <f t="shared" si="71"/>
        <v>28</v>
      </c>
      <c r="G202" s="14">
        <v>21</v>
      </c>
      <c r="H202" s="14"/>
      <c r="I202" s="14">
        <v>7</v>
      </c>
      <c r="J202" s="14"/>
      <c r="K202" s="14">
        <v>0</v>
      </c>
      <c r="L202" s="14">
        <v>0</v>
      </c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  <c r="AA202" s="32"/>
      <c r="AB202" s="32"/>
      <c r="AC202" s="32"/>
      <c r="AD202" s="32"/>
      <c r="AE202" s="32"/>
      <c r="AF202" s="32"/>
      <c r="AG202" s="32"/>
      <c r="AH202" s="32"/>
      <c r="AI202" s="32"/>
      <c r="AJ202" s="32"/>
      <c r="AK202" s="32"/>
      <c r="AL202" s="32"/>
      <c r="AM202" s="32"/>
      <c r="AN202" s="32"/>
      <c r="AO202" s="32"/>
      <c r="AP202" s="32"/>
      <c r="AQ202" s="32"/>
      <c r="AR202" s="33"/>
      <c r="AS202" s="34"/>
      <c r="AT202" s="34"/>
      <c r="AU202" s="34"/>
      <c r="AV202" s="34"/>
      <c r="AW202" s="34"/>
      <c r="AX202" s="34"/>
      <c r="AY202" s="34"/>
      <c r="AZ202" s="35"/>
      <c r="BA202" s="36"/>
    </row>
    <row r="203" spans="1:53" s="37" customFormat="1" ht="26.25" customHeight="1">
      <c r="A203" s="100"/>
      <c r="B203" s="103"/>
      <c r="C203" s="117"/>
      <c r="D203" s="108"/>
      <c r="E203" s="21" t="s">
        <v>166</v>
      </c>
      <c r="F203" s="96">
        <f t="shared" si="71"/>
        <v>0</v>
      </c>
      <c r="G203" s="14">
        <v>0</v>
      </c>
      <c r="H203" s="14"/>
      <c r="I203" s="14">
        <v>0</v>
      </c>
      <c r="J203" s="14"/>
      <c r="K203" s="14">
        <v>0</v>
      </c>
      <c r="L203" s="14">
        <v>0</v>
      </c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  <c r="AA203" s="32"/>
      <c r="AB203" s="32"/>
      <c r="AC203" s="32"/>
      <c r="AD203" s="32"/>
      <c r="AE203" s="32"/>
      <c r="AF203" s="32"/>
      <c r="AG203" s="32"/>
      <c r="AH203" s="32"/>
      <c r="AI203" s="32"/>
      <c r="AJ203" s="32"/>
      <c r="AK203" s="32"/>
      <c r="AL203" s="32"/>
      <c r="AM203" s="32"/>
      <c r="AN203" s="32"/>
      <c r="AO203" s="32"/>
      <c r="AP203" s="32"/>
      <c r="AQ203" s="32"/>
      <c r="AR203" s="33"/>
      <c r="AS203" s="34"/>
      <c r="AT203" s="34"/>
      <c r="AU203" s="34"/>
      <c r="AV203" s="34"/>
      <c r="AW203" s="34"/>
      <c r="AX203" s="34"/>
      <c r="AY203" s="34"/>
      <c r="AZ203" s="35"/>
      <c r="BA203" s="36"/>
    </row>
    <row r="204" spans="1:53" s="37" customFormat="1" ht="21.75" customHeight="1">
      <c r="A204" s="100"/>
      <c r="B204" s="103"/>
      <c r="C204" s="117"/>
      <c r="D204" s="108"/>
      <c r="E204" s="22" t="s">
        <v>56</v>
      </c>
      <c r="F204" s="96">
        <f t="shared" si="71"/>
        <v>1.4736799999999999</v>
      </c>
      <c r="G204" s="14">
        <v>1.1052599999999999</v>
      </c>
      <c r="H204" s="14"/>
      <c r="I204" s="14">
        <v>0.36842000000000003</v>
      </c>
      <c r="J204" s="14"/>
      <c r="K204" s="14">
        <v>0</v>
      </c>
      <c r="L204" s="14">
        <v>0</v>
      </c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2"/>
      <c r="AA204" s="32"/>
      <c r="AB204" s="32"/>
      <c r="AC204" s="32"/>
      <c r="AD204" s="32"/>
      <c r="AE204" s="32"/>
      <c r="AF204" s="32"/>
      <c r="AG204" s="32"/>
      <c r="AH204" s="32"/>
      <c r="AI204" s="32"/>
      <c r="AJ204" s="32"/>
      <c r="AK204" s="32"/>
      <c r="AL204" s="32"/>
      <c r="AM204" s="32"/>
      <c r="AN204" s="32"/>
      <c r="AO204" s="32"/>
      <c r="AP204" s="32"/>
      <c r="AQ204" s="32"/>
      <c r="AR204" s="33"/>
      <c r="AS204" s="34"/>
      <c r="AT204" s="34"/>
      <c r="AU204" s="34"/>
      <c r="AV204" s="34"/>
      <c r="AW204" s="34"/>
      <c r="AX204" s="34"/>
      <c r="AY204" s="34"/>
      <c r="AZ204" s="35"/>
      <c r="BA204" s="36"/>
    </row>
    <row r="205" spans="1:53" s="37" customFormat="1" ht="21.75" customHeight="1">
      <c r="A205" s="100"/>
      <c r="B205" s="103"/>
      <c r="C205" s="117"/>
      <c r="D205" s="108"/>
      <c r="E205" s="22" t="s">
        <v>57</v>
      </c>
      <c r="F205" s="96">
        <f t="shared" si="71"/>
        <v>7.3800000000000003E-3</v>
      </c>
      <c r="G205" s="14">
        <v>0</v>
      </c>
      <c r="H205" s="14">
        <v>0</v>
      </c>
      <c r="I205" s="14">
        <v>7.3800000000000003E-3</v>
      </c>
      <c r="J205" s="14"/>
      <c r="K205" s="14">
        <v>0</v>
      </c>
      <c r="L205" s="14">
        <v>0</v>
      </c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Z205" s="32"/>
      <c r="AA205" s="32"/>
      <c r="AB205" s="32"/>
      <c r="AC205" s="32"/>
      <c r="AD205" s="32"/>
      <c r="AE205" s="32"/>
      <c r="AF205" s="32"/>
      <c r="AG205" s="32"/>
      <c r="AH205" s="32"/>
      <c r="AI205" s="32"/>
      <c r="AJ205" s="32"/>
      <c r="AK205" s="32"/>
      <c r="AL205" s="32"/>
      <c r="AM205" s="32"/>
      <c r="AN205" s="32"/>
      <c r="AO205" s="32"/>
      <c r="AP205" s="32"/>
      <c r="AQ205" s="32"/>
      <c r="AR205" s="33"/>
      <c r="AS205" s="34"/>
      <c r="AT205" s="34"/>
      <c r="AU205" s="34"/>
      <c r="AV205" s="34"/>
      <c r="AW205" s="34"/>
      <c r="AX205" s="34"/>
      <c r="AY205" s="34"/>
      <c r="AZ205" s="35"/>
      <c r="BA205" s="36"/>
    </row>
    <row r="206" spans="1:53" s="53" customFormat="1" ht="52.5" customHeight="1">
      <c r="A206" s="101"/>
      <c r="B206" s="104"/>
      <c r="C206" s="118"/>
      <c r="D206" s="109"/>
      <c r="E206" s="22" t="s">
        <v>58</v>
      </c>
      <c r="F206" s="96">
        <f t="shared" si="71"/>
        <v>0</v>
      </c>
      <c r="G206" s="14">
        <v>0</v>
      </c>
      <c r="H206" s="14">
        <v>0</v>
      </c>
      <c r="I206" s="14">
        <v>0</v>
      </c>
      <c r="J206" s="14">
        <v>0</v>
      </c>
      <c r="K206" s="14">
        <v>0</v>
      </c>
      <c r="L206" s="14">
        <v>0</v>
      </c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  <c r="AF206" s="28"/>
      <c r="AG206" s="28"/>
      <c r="AH206" s="28"/>
      <c r="AI206" s="28"/>
      <c r="AJ206" s="28"/>
      <c r="AK206" s="28"/>
      <c r="AL206" s="28"/>
      <c r="AM206" s="28"/>
      <c r="AN206" s="28"/>
      <c r="AO206" s="28"/>
      <c r="AP206" s="28"/>
      <c r="AQ206" s="28"/>
      <c r="AR206" s="49"/>
      <c r="AS206" s="50"/>
      <c r="AT206" s="50"/>
      <c r="AU206" s="50"/>
      <c r="AV206" s="50"/>
      <c r="AW206" s="50"/>
      <c r="AX206" s="50"/>
      <c r="AY206" s="50"/>
      <c r="AZ206" s="51"/>
      <c r="BA206" s="52"/>
    </row>
    <row r="207" spans="1:53" s="53" customFormat="1" ht="21.75" customHeight="1">
      <c r="A207" s="99" t="s">
        <v>26</v>
      </c>
      <c r="B207" s="102" t="s">
        <v>126</v>
      </c>
      <c r="C207" s="116">
        <v>2022</v>
      </c>
      <c r="D207" s="99" t="s">
        <v>90</v>
      </c>
      <c r="E207" s="22" t="s">
        <v>47</v>
      </c>
      <c r="F207" s="96">
        <f t="shared" si="71"/>
        <v>14051.68</v>
      </c>
      <c r="G207" s="90">
        <f>G208+G210+G211+G212</f>
        <v>14051.68</v>
      </c>
      <c r="H207" s="90">
        <f>H208+H210+H211+H212</f>
        <v>0</v>
      </c>
      <c r="I207" s="90">
        <f>I208+I210+I211+I212</f>
        <v>0</v>
      </c>
      <c r="J207" s="90">
        <f>J208+J210+J211+J212</f>
        <v>0</v>
      </c>
      <c r="K207" s="90">
        <f t="shared" ref="K207:L207" si="76">K208+K210+K211+K212</f>
        <v>0</v>
      </c>
      <c r="L207" s="90">
        <f t="shared" si="76"/>
        <v>0</v>
      </c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  <c r="AE207" s="28"/>
      <c r="AF207" s="28"/>
      <c r="AG207" s="28"/>
      <c r="AH207" s="28"/>
      <c r="AI207" s="28"/>
      <c r="AJ207" s="28"/>
      <c r="AK207" s="28"/>
      <c r="AL207" s="28"/>
      <c r="AM207" s="28"/>
      <c r="AN207" s="28"/>
      <c r="AO207" s="28"/>
      <c r="AP207" s="28"/>
      <c r="AQ207" s="28"/>
      <c r="AR207" s="49"/>
      <c r="AS207" s="50"/>
      <c r="AT207" s="50"/>
      <c r="AU207" s="50"/>
      <c r="AV207" s="50"/>
      <c r="AW207" s="50"/>
      <c r="AX207" s="50"/>
      <c r="AY207" s="50"/>
      <c r="AZ207" s="51"/>
      <c r="BA207" s="52"/>
    </row>
    <row r="208" spans="1:53" s="53" customFormat="1" ht="21.75" customHeight="1">
      <c r="A208" s="100"/>
      <c r="B208" s="103"/>
      <c r="C208" s="117"/>
      <c r="D208" s="143"/>
      <c r="E208" s="22" t="s">
        <v>55</v>
      </c>
      <c r="F208" s="96">
        <f t="shared" si="71"/>
        <v>0</v>
      </c>
      <c r="G208" s="15"/>
      <c r="H208" s="15">
        <v>0</v>
      </c>
      <c r="I208" s="14">
        <v>0</v>
      </c>
      <c r="J208" s="14">
        <v>0</v>
      </c>
      <c r="K208" s="14">
        <v>0</v>
      </c>
      <c r="L208" s="14">
        <v>0</v>
      </c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  <c r="AF208" s="28"/>
      <c r="AG208" s="28"/>
      <c r="AH208" s="28"/>
      <c r="AI208" s="28"/>
      <c r="AJ208" s="28"/>
      <c r="AK208" s="28"/>
      <c r="AL208" s="28"/>
      <c r="AM208" s="28"/>
      <c r="AN208" s="28"/>
      <c r="AO208" s="28"/>
      <c r="AP208" s="28"/>
      <c r="AQ208" s="28"/>
      <c r="AR208" s="49"/>
      <c r="AS208" s="50"/>
      <c r="AT208" s="50"/>
      <c r="AU208" s="50"/>
      <c r="AV208" s="50"/>
      <c r="AW208" s="50"/>
      <c r="AX208" s="50"/>
      <c r="AY208" s="50"/>
      <c r="AZ208" s="51"/>
      <c r="BA208" s="52"/>
    </row>
    <row r="209" spans="1:53" s="53" customFormat="1" ht="29.25" customHeight="1">
      <c r="A209" s="100"/>
      <c r="B209" s="103"/>
      <c r="C209" s="117"/>
      <c r="D209" s="143"/>
      <c r="E209" s="21" t="s">
        <v>166</v>
      </c>
      <c r="F209" s="96">
        <f t="shared" si="71"/>
        <v>0</v>
      </c>
      <c r="G209" s="14"/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  <c r="AJ209" s="28"/>
      <c r="AK209" s="28"/>
      <c r="AL209" s="28"/>
      <c r="AM209" s="28"/>
      <c r="AN209" s="28"/>
      <c r="AO209" s="28"/>
      <c r="AP209" s="28"/>
      <c r="AQ209" s="28"/>
      <c r="AR209" s="49"/>
      <c r="AS209" s="50"/>
      <c r="AT209" s="50"/>
      <c r="AU209" s="50"/>
      <c r="AV209" s="50"/>
      <c r="AW209" s="50"/>
      <c r="AX209" s="50"/>
      <c r="AY209" s="50"/>
      <c r="AZ209" s="51"/>
      <c r="BA209" s="52"/>
    </row>
    <row r="210" spans="1:53" s="53" customFormat="1" ht="21.75" customHeight="1">
      <c r="A210" s="100"/>
      <c r="B210" s="103"/>
      <c r="C210" s="117"/>
      <c r="D210" s="143"/>
      <c r="E210" s="22" t="s">
        <v>56</v>
      </c>
      <c r="F210" s="96">
        <f t="shared" si="71"/>
        <v>13349.096</v>
      </c>
      <c r="G210" s="15">
        <v>13349.096</v>
      </c>
      <c r="H210" s="15"/>
      <c r="I210" s="14">
        <v>0</v>
      </c>
      <c r="J210" s="14">
        <v>0</v>
      </c>
      <c r="K210" s="14">
        <v>0</v>
      </c>
      <c r="L210" s="14">
        <v>0</v>
      </c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28"/>
      <c r="AI210" s="28"/>
      <c r="AJ210" s="28"/>
      <c r="AK210" s="28"/>
      <c r="AL210" s="28"/>
      <c r="AM210" s="28"/>
      <c r="AN210" s="28"/>
      <c r="AO210" s="28"/>
      <c r="AP210" s="28"/>
      <c r="AQ210" s="28"/>
      <c r="AR210" s="49"/>
      <c r="AS210" s="50"/>
      <c r="AT210" s="50"/>
      <c r="AU210" s="50"/>
      <c r="AV210" s="50"/>
      <c r="AW210" s="50"/>
      <c r="AX210" s="50"/>
      <c r="AY210" s="50"/>
      <c r="AZ210" s="51"/>
      <c r="BA210" s="52"/>
    </row>
    <row r="211" spans="1:53" s="53" customFormat="1" ht="21.75" customHeight="1">
      <c r="A211" s="100"/>
      <c r="B211" s="103"/>
      <c r="C211" s="117"/>
      <c r="D211" s="143"/>
      <c r="E211" s="22" t="s">
        <v>57</v>
      </c>
      <c r="F211" s="96">
        <f t="shared" si="71"/>
        <v>702.58399999999995</v>
      </c>
      <c r="G211" s="15">
        <v>702.58399999999995</v>
      </c>
      <c r="H211" s="15"/>
      <c r="I211" s="14">
        <v>0</v>
      </c>
      <c r="J211" s="14">
        <v>0</v>
      </c>
      <c r="K211" s="14">
        <v>0</v>
      </c>
      <c r="L211" s="14">
        <v>0</v>
      </c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  <c r="AE211" s="28"/>
      <c r="AF211" s="28"/>
      <c r="AG211" s="28"/>
      <c r="AH211" s="28"/>
      <c r="AI211" s="28"/>
      <c r="AJ211" s="28"/>
      <c r="AK211" s="28"/>
      <c r="AL211" s="28"/>
      <c r="AM211" s="28"/>
      <c r="AN211" s="28"/>
      <c r="AO211" s="28"/>
      <c r="AP211" s="28"/>
      <c r="AQ211" s="28"/>
      <c r="AR211" s="49"/>
      <c r="AS211" s="50"/>
      <c r="AT211" s="50"/>
      <c r="AU211" s="50"/>
      <c r="AV211" s="50"/>
      <c r="AW211" s="50"/>
      <c r="AX211" s="50"/>
      <c r="AY211" s="50"/>
      <c r="AZ211" s="51"/>
      <c r="BA211" s="52"/>
    </row>
    <row r="212" spans="1:53" s="53" customFormat="1" ht="21.75" customHeight="1">
      <c r="A212" s="101"/>
      <c r="B212" s="104"/>
      <c r="C212" s="118"/>
      <c r="D212" s="144"/>
      <c r="E212" s="22" t="s">
        <v>58</v>
      </c>
      <c r="F212" s="96">
        <f t="shared" si="71"/>
        <v>0</v>
      </c>
      <c r="G212" s="14">
        <v>0</v>
      </c>
      <c r="H212" s="14">
        <v>0</v>
      </c>
      <c r="I212" s="14">
        <v>0</v>
      </c>
      <c r="J212" s="14">
        <v>0</v>
      </c>
      <c r="K212" s="14">
        <v>0</v>
      </c>
      <c r="L212" s="14">
        <v>0</v>
      </c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  <c r="AH212" s="28"/>
      <c r="AI212" s="28"/>
      <c r="AJ212" s="28"/>
      <c r="AK212" s="28"/>
      <c r="AL212" s="28"/>
      <c r="AM212" s="28"/>
      <c r="AN212" s="28"/>
      <c r="AO212" s="28"/>
      <c r="AP212" s="28"/>
      <c r="AQ212" s="28"/>
      <c r="AR212" s="49"/>
      <c r="AS212" s="50"/>
      <c r="AT212" s="50"/>
      <c r="AU212" s="50"/>
      <c r="AV212" s="50"/>
      <c r="AW212" s="50"/>
      <c r="AX212" s="50"/>
      <c r="AY212" s="50"/>
      <c r="AZ212" s="51"/>
      <c r="BA212" s="52"/>
    </row>
    <row r="213" spans="1:53" s="37" customFormat="1" ht="21.75" customHeight="1">
      <c r="A213" s="99" t="s">
        <v>27</v>
      </c>
      <c r="B213" s="102" t="s">
        <v>134</v>
      </c>
      <c r="C213" s="116" t="s">
        <v>185</v>
      </c>
      <c r="D213" s="99" t="s">
        <v>171</v>
      </c>
      <c r="E213" s="22" t="s">
        <v>47</v>
      </c>
      <c r="F213" s="96">
        <f t="shared" si="71"/>
        <v>39787.125999999997</v>
      </c>
      <c r="G213" s="90">
        <f t="shared" ref="G213:H213" si="77">G214+G216+G217+G218</f>
        <v>31058.942999999999</v>
      </c>
      <c r="H213" s="90">
        <f t="shared" si="77"/>
        <v>6808.1949999999997</v>
      </c>
      <c r="I213" s="90">
        <f>I214+I216+I217+I218</f>
        <v>1536.4749999999999</v>
      </c>
      <c r="J213" s="90">
        <f t="shared" ref="J213:L213" si="78">J214+J216+J217+J218</f>
        <v>383.51300000000003</v>
      </c>
      <c r="K213" s="92">
        <f t="shared" si="78"/>
        <v>0</v>
      </c>
      <c r="L213" s="92">
        <f t="shared" si="78"/>
        <v>0</v>
      </c>
      <c r="M213" s="32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  <c r="Y213" s="32"/>
      <c r="Z213" s="32"/>
      <c r="AA213" s="32"/>
      <c r="AB213" s="32"/>
      <c r="AC213" s="32"/>
      <c r="AD213" s="32"/>
      <c r="AE213" s="32"/>
      <c r="AF213" s="32"/>
      <c r="AG213" s="32"/>
      <c r="AH213" s="32"/>
      <c r="AI213" s="32"/>
      <c r="AJ213" s="32"/>
      <c r="AK213" s="32"/>
      <c r="AL213" s="32"/>
      <c r="AM213" s="32"/>
      <c r="AN213" s="32"/>
      <c r="AO213" s="32"/>
      <c r="AP213" s="32"/>
      <c r="AQ213" s="32"/>
      <c r="AR213" s="33"/>
      <c r="AS213" s="34"/>
      <c r="AT213" s="34"/>
      <c r="AU213" s="34"/>
      <c r="AV213" s="34"/>
      <c r="AW213" s="34"/>
      <c r="AX213" s="34"/>
      <c r="AY213" s="34"/>
      <c r="AZ213" s="35"/>
      <c r="BA213" s="36"/>
    </row>
    <row r="214" spans="1:53" s="37" customFormat="1" ht="21.75" customHeight="1">
      <c r="A214" s="100"/>
      <c r="B214" s="103"/>
      <c r="C214" s="117"/>
      <c r="D214" s="108"/>
      <c r="E214" s="22" t="s">
        <v>55</v>
      </c>
      <c r="F214" s="96">
        <f t="shared" si="71"/>
        <v>0</v>
      </c>
      <c r="G214" s="14">
        <v>0</v>
      </c>
      <c r="H214" s="14">
        <v>0</v>
      </c>
      <c r="I214" s="14">
        <v>0</v>
      </c>
      <c r="J214" s="14">
        <v>0</v>
      </c>
      <c r="K214" s="14">
        <v>0</v>
      </c>
      <c r="L214" s="14">
        <v>0</v>
      </c>
      <c r="M214" s="32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32"/>
      <c r="AA214" s="32"/>
      <c r="AB214" s="32"/>
      <c r="AC214" s="32"/>
      <c r="AD214" s="32"/>
      <c r="AE214" s="32"/>
      <c r="AF214" s="32"/>
      <c r="AG214" s="32"/>
      <c r="AH214" s="32"/>
      <c r="AI214" s="32"/>
      <c r="AJ214" s="32"/>
      <c r="AK214" s="32"/>
      <c r="AL214" s="32"/>
      <c r="AM214" s="32"/>
      <c r="AN214" s="32"/>
      <c r="AO214" s="32"/>
      <c r="AP214" s="32"/>
      <c r="AQ214" s="32"/>
      <c r="AR214" s="33"/>
      <c r="AS214" s="34"/>
      <c r="AT214" s="34"/>
      <c r="AU214" s="34"/>
      <c r="AV214" s="34"/>
      <c r="AW214" s="34"/>
      <c r="AX214" s="34"/>
      <c r="AY214" s="34"/>
      <c r="AZ214" s="35"/>
      <c r="BA214" s="36"/>
    </row>
    <row r="215" spans="1:53" s="37" customFormat="1" ht="28.5" customHeight="1">
      <c r="A215" s="100"/>
      <c r="B215" s="103"/>
      <c r="C215" s="117"/>
      <c r="D215" s="108"/>
      <c r="E215" s="21" t="s">
        <v>166</v>
      </c>
      <c r="F215" s="96">
        <f t="shared" si="71"/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32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Z215" s="32"/>
      <c r="AA215" s="32"/>
      <c r="AB215" s="32"/>
      <c r="AC215" s="32"/>
      <c r="AD215" s="32"/>
      <c r="AE215" s="32"/>
      <c r="AF215" s="32"/>
      <c r="AG215" s="32"/>
      <c r="AH215" s="32"/>
      <c r="AI215" s="32"/>
      <c r="AJ215" s="32"/>
      <c r="AK215" s="32"/>
      <c r="AL215" s="32"/>
      <c r="AM215" s="32"/>
      <c r="AN215" s="32"/>
      <c r="AO215" s="32"/>
      <c r="AP215" s="32"/>
      <c r="AQ215" s="32"/>
      <c r="AR215" s="33"/>
      <c r="AS215" s="34"/>
      <c r="AT215" s="34"/>
      <c r="AU215" s="34"/>
      <c r="AV215" s="34"/>
      <c r="AW215" s="34"/>
      <c r="AX215" s="34"/>
      <c r="AY215" s="34"/>
      <c r="AZ215" s="35"/>
      <c r="BA215" s="36"/>
    </row>
    <row r="216" spans="1:53" s="37" customFormat="1" ht="21.75" customHeight="1">
      <c r="A216" s="100"/>
      <c r="B216" s="103"/>
      <c r="C216" s="117"/>
      <c r="D216" s="108"/>
      <c r="E216" s="22" t="s">
        <v>56</v>
      </c>
      <c r="F216" s="96">
        <f t="shared" si="71"/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32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  <c r="AA216" s="32"/>
      <c r="AB216" s="32"/>
      <c r="AC216" s="32"/>
      <c r="AD216" s="32"/>
      <c r="AE216" s="32"/>
      <c r="AF216" s="32"/>
      <c r="AG216" s="32"/>
      <c r="AH216" s="32"/>
      <c r="AI216" s="32"/>
      <c r="AJ216" s="32"/>
      <c r="AK216" s="32"/>
      <c r="AL216" s="32"/>
      <c r="AM216" s="32"/>
      <c r="AN216" s="32"/>
      <c r="AO216" s="32"/>
      <c r="AP216" s="32"/>
      <c r="AQ216" s="32"/>
      <c r="AR216" s="33"/>
      <c r="AS216" s="34"/>
      <c r="AT216" s="34"/>
      <c r="AU216" s="34"/>
      <c r="AV216" s="34"/>
      <c r="AW216" s="34"/>
      <c r="AX216" s="34"/>
      <c r="AY216" s="34"/>
      <c r="AZ216" s="35"/>
      <c r="BA216" s="36"/>
    </row>
    <row r="217" spans="1:53" s="37" customFormat="1" ht="21.75" customHeight="1">
      <c r="A217" s="100"/>
      <c r="B217" s="103"/>
      <c r="C217" s="117"/>
      <c r="D217" s="108"/>
      <c r="E217" s="22" t="s">
        <v>57</v>
      </c>
      <c r="F217" s="96">
        <f t="shared" si="71"/>
        <v>39787.125999999997</v>
      </c>
      <c r="G217" s="15">
        <v>31058.942999999999</v>
      </c>
      <c r="H217" s="15">
        <f>6808.195</f>
        <v>6808.1949999999997</v>
      </c>
      <c r="I217" s="15">
        <v>1536.4749999999999</v>
      </c>
      <c r="J217" s="15">
        <f>160.856+222.657</f>
        <v>383.51300000000003</v>
      </c>
      <c r="K217" s="15">
        <v>0</v>
      </c>
      <c r="L217" s="15">
        <v>0</v>
      </c>
      <c r="M217" s="32" t="s">
        <v>191</v>
      </c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  <c r="AR217" s="33"/>
      <c r="AS217" s="34"/>
      <c r="AT217" s="34"/>
      <c r="AU217" s="34"/>
      <c r="AV217" s="34"/>
      <c r="AW217" s="34"/>
      <c r="AX217" s="34"/>
      <c r="AY217" s="34"/>
      <c r="AZ217" s="35"/>
      <c r="BA217" s="36"/>
    </row>
    <row r="218" spans="1:53" s="53" customFormat="1" ht="105" customHeight="1">
      <c r="A218" s="101"/>
      <c r="B218" s="104"/>
      <c r="C218" s="118"/>
      <c r="D218" s="109"/>
      <c r="E218" s="22" t="s">
        <v>58</v>
      </c>
      <c r="F218" s="96">
        <f t="shared" si="71"/>
        <v>0</v>
      </c>
      <c r="G218" s="14">
        <v>0</v>
      </c>
      <c r="H218" s="14">
        <v>0</v>
      </c>
      <c r="I218" s="14">
        <v>0</v>
      </c>
      <c r="J218" s="14">
        <v>0</v>
      </c>
      <c r="K218" s="14">
        <v>0</v>
      </c>
      <c r="L218" s="14">
        <v>0</v>
      </c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  <c r="AC218" s="28"/>
      <c r="AD218" s="28"/>
      <c r="AE218" s="28"/>
      <c r="AF218" s="28"/>
      <c r="AG218" s="28"/>
      <c r="AH218" s="28"/>
      <c r="AI218" s="28"/>
      <c r="AJ218" s="28"/>
      <c r="AK218" s="28"/>
      <c r="AL218" s="28"/>
      <c r="AM218" s="28"/>
      <c r="AN218" s="28"/>
      <c r="AO218" s="28"/>
      <c r="AP218" s="28"/>
      <c r="AQ218" s="28"/>
      <c r="AR218" s="49"/>
      <c r="AS218" s="50"/>
      <c r="AT218" s="50"/>
      <c r="AU218" s="50"/>
      <c r="AV218" s="50"/>
      <c r="AW218" s="50"/>
      <c r="AX218" s="50"/>
      <c r="AY218" s="50"/>
      <c r="AZ218" s="51"/>
      <c r="BA218" s="52"/>
    </row>
    <row r="219" spans="1:53" s="37" customFormat="1" ht="21.75" customHeight="1">
      <c r="A219" s="99" t="s">
        <v>28</v>
      </c>
      <c r="B219" s="158" t="s">
        <v>162</v>
      </c>
      <c r="C219" s="116">
        <v>2022</v>
      </c>
      <c r="D219" s="99" t="s">
        <v>82</v>
      </c>
      <c r="E219" s="22" t="s">
        <v>47</v>
      </c>
      <c r="F219" s="96">
        <f t="shared" si="71"/>
        <v>5971.5479999999998</v>
      </c>
      <c r="G219" s="90">
        <f>G220+G222+G223+G224</f>
        <v>5971.5479999999998</v>
      </c>
      <c r="H219" s="90">
        <f t="shared" ref="H219:L219" si="79">H220+H222+H223+H224</f>
        <v>0</v>
      </c>
      <c r="I219" s="90">
        <f t="shared" si="79"/>
        <v>0</v>
      </c>
      <c r="J219" s="90">
        <f t="shared" si="79"/>
        <v>0</v>
      </c>
      <c r="K219" s="90">
        <f t="shared" si="79"/>
        <v>0</v>
      </c>
      <c r="L219" s="90">
        <f t="shared" si="79"/>
        <v>0</v>
      </c>
      <c r="M219" s="32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2"/>
      <c r="Y219" s="32"/>
      <c r="Z219" s="32"/>
      <c r="AA219" s="32"/>
      <c r="AB219" s="32"/>
      <c r="AC219" s="32"/>
      <c r="AD219" s="32"/>
      <c r="AE219" s="32"/>
      <c r="AF219" s="32"/>
      <c r="AG219" s="32"/>
      <c r="AH219" s="32"/>
      <c r="AI219" s="32"/>
      <c r="AJ219" s="32"/>
      <c r="AK219" s="32"/>
      <c r="AL219" s="32"/>
      <c r="AM219" s="32"/>
      <c r="AN219" s="32"/>
      <c r="AO219" s="32"/>
      <c r="AP219" s="32"/>
      <c r="AQ219" s="32"/>
      <c r="AR219" s="33"/>
      <c r="AS219" s="34"/>
      <c r="AT219" s="34"/>
      <c r="AU219" s="34"/>
      <c r="AV219" s="34"/>
      <c r="AW219" s="34"/>
      <c r="AX219" s="34"/>
      <c r="AY219" s="34"/>
      <c r="AZ219" s="35"/>
      <c r="BA219" s="36"/>
    </row>
    <row r="220" spans="1:53" s="37" customFormat="1" ht="21.75" customHeight="1">
      <c r="A220" s="100"/>
      <c r="B220" s="103"/>
      <c r="C220" s="117"/>
      <c r="D220" s="143"/>
      <c r="E220" s="22" t="s">
        <v>55</v>
      </c>
      <c r="F220" s="96">
        <f t="shared" si="71"/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32"/>
      <c r="N220" s="32"/>
      <c r="O220" s="32"/>
      <c r="P220" s="32"/>
      <c r="Q220" s="32"/>
      <c r="R220" s="32"/>
      <c r="S220" s="32"/>
      <c r="T220" s="32"/>
      <c r="U220" s="32"/>
      <c r="V220" s="32"/>
      <c r="W220" s="32"/>
      <c r="X220" s="32"/>
      <c r="Y220" s="32"/>
      <c r="Z220" s="32"/>
      <c r="AA220" s="32"/>
      <c r="AB220" s="32"/>
      <c r="AC220" s="32"/>
      <c r="AD220" s="32"/>
      <c r="AE220" s="32"/>
      <c r="AF220" s="32"/>
      <c r="AG220" s="32"/>
      <c r="AH220" s="32"/>
      <c r="AI220" s="32"/>
      <c r="AJ220" s="32"/>
      <c r="AK220" s="32"/>
      <c r="AL220" s="32"/>
      <c r="AM220" s="32"/>
      <c r="AN220" s="32"/>
      <c r="AO220" s="32"/>
      <c r="AP220" s="32"/>
      <c r="AQ220" s="32"/>
      <c r="AR220" s="33"/>
      <c r="AS220" s="34"/>
      <c r="AT220" s="34"/>
      <c r="AU220" s="34"/>
      <c r="AV220" s="34"/>
      <c r="AW220" s="34"/>
      <c r="AX220" s="34"/>
      <c r="AY220" s="34"/>
      <c r="AZ220" s="35"/>
      <c r="BA220" s="36"/>
    </row>
    <row r="221" spans="1:53" s="37" customFormat="1" ht="31.5" customHeight="1">
      <c r="A221" s="100"/>
      <c r="B221" s="103"/>
      <c r="C221" s="117"/>
      <c r="D221" s="143"/>
      <c r="E221" s="21" t="s">
        <v>166</v>
      </c>
      <c r="F221" s="96">
        <f t="shared" si="71"/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32"/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2"/>
      <c r="Y221" s="32"/>
      <c r="Z221" s="32"/>
      <c r="AA221" s="32"/>
      <c r="AB221" s="32"/>
      <c r="AC221" s="32"/>
      <c r="AD221" s="32"/>
      <c r="AE221" s="32"/>
      <c r="AF221" s="32"/>
      <c r="AG221" s="32"/>
      <c r="AH221" s="32"/>
      <c r="AI221" s="32"/>
      <c r="AJ221" s="32"/>
      <c r="AK221" s="32"/>
      <c r="AL221" s="32"/>
      <c r="AM221" s="32"/>
      <c r="AN221" s="32"/>
      <c r="AO221" s="32"/>
      <c r="AP221" s="32"/>
      <c r="AQ221" s="32"/>
      <c r="AR221" s="33"/>
      <c r="AS221" s="34"/>
      <c r="AT221" s="34"/>
      <c r="AU221" s="34"/>
      <c r="AV221" s="34"/>
      <c r="AW221" s="34"/>
      <c r="AX221" s="34"/>
      <c r="AY221" s="34"/>
      <c r="AZ221" s="35"/>
      <c r="BA221" s="36"/>
    </row>
    <row r="222" spans="1:53" s="37" customFormat="1" ht="21.75" customHeight="1">
      <c r="A222" s="100"/>
      <c r="B222" s="103"/>
      <c r="C222" s="117"/>
      <c r="D222" s="143"/>
      <c r="E222" s="22" t="s">
        <v>56</v>
      </c>
      <c r="F222" s="96">
        <f t="shared" si="71"/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32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  <c r="AA222" s="32"/>
      <c r="AB222" s="32"/>
      <c r="AC222" s="32"/>
      <c r="AD222" s="32"/>
      <c r="AE222" s="32"/>
      <c r="AF222" s="32"/>
      <c r="AG222" s="32"/>
      <c r="AH222" s="32"/>
      <c r="AI222" s="32"/>
      <c r="AJ222" s="32"/>
      <c r="AK222" s="32"/>
      <c r="AL222" s="32"/>
      <c r="AM222" s="32"/>
      <c r="AN222" s="32"/>
      <c r="AO222" s="32"/>
      <c r="AP222" s="32"/>
      <c r="AQ222" s="32"/>
      <c r="AR222" s="33"/>
      <c r="AS222" s="34"/>
      <c r="AT222" s="34"/>
      <c r="AU222" s="34"/>
      <c r="AV222" s="34"/>
      <c r="AW222" s="34"/>
      <c r="AX222" s="34"/>
      <c r="AY222" s="34"/>
      <c r="AZ222" s="35"/>
      <c r="BA222" s="36"/>
    </row>
    <row r="223" spans="1:53" s="37" customFormat="1" ht="21.75" customHeight="1">
      <c r="A223" s="100"/>
      <c r="B223" s="103"/>
      <c r="C223" s="117"/>
      <c r="D223" s="143"/>
      <c r="E223" s="22" t="s">
        <v>57</v>
      </c>
      <c r="F223" s="96">
        <f t="shared" ref="F223:F241" si="80">G223+H223+I223+J223+K223+L223</f>
        <v>5971.5479999999998</v>
      </c>
      <c r="G223" s="15">
        <v>5971.5479999999998</v>
      </c>
      <c r="H223" s="15"/>
      <c r="I223" s="14">
        <f>5638.582-2014.58332-3623.99868</f>
        <v>0</v>
      </c>
      <c r="J223" s="14">
        <v>0</v>
      </c>
      <c r="K223" s="14">
        <v>0</v>
      </c>
      <c r="L223" s="14">
        <v>0</v>
      </c>
      <c r="M223" s="32"/>
      <c r="N223" s="32"/>
      <c r="O223" s="32"/>
      <c r="P223" s="32"/>
      <c r="Q223" s="32"/>
      <c r="R223" s="32"/>
      <c r="S223" s="32"/>
      <c r="T223" s="32"/>
      <c r="U223" s="32"/>
      <c r="V223" s="32"/>
      <c r="W223" s="32"/>
      <c r="X223" s="32"/>
      <c r="Y223" s="32"/>
      <c r="Z223" s="32"/>
      <c r="AA223" s="32"/>
      <c r="AB223" s="32"/>
      <c r="AC223" s="32"/>
      <c r="AD223" s="32"/>
      <c r="AE223" s="32"/>
      <c r="AF223" s="32"/>
      <c r="AG223" s="32"/>
      <c r="AH223" s="32"/>
      <c r="AI223" s="32"/>
      <c r="AJ223" s="32"/>
      <c r="AK223" s="32"/>
      <c r="AL223" s="32"/>
      <c r="AM223" s="32"/>
      <c r="AN223" s="32"/>
      <c r="AO223" s="32"/>
      <c r="AP223" s="32"/>
      <c r="AQ223" s="32"/>
      <c r="AR223" s="33"/>
      <c r="AS223" s="34"/>
      <c r="AT223" s="34"/>
      <c r="AU223" s="34"/>
      <c r="AV223" s="34"/>
      <c r="AW223" s="34"/>
      <c r="AX223" s="34"/>
      <c r="AY223" s="34"/>
      <c r="AZ223" s="35"/>
      <c r="BA223" s="36"/>
    </row>
    <row r="224" spans="1:53" s="53" customFormat="1" ht="20.25" customHeight="1">
      <c r="A224" s="101"/>
      <c r="B224" s="104"/>
      <c r="C224" s="118"/>
      <c r="D224" s="144"/>
      <c r="E224" s="22" t="s">
        <v>58</v>
      </c>
      <c r="F224" s="96">
        <f t="shared" si="80"/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  <c r="AB224" s="28"/>
      <c r="AC224" s="28"/>
      <c r="AD224" s="28"/>
      <c r="AE224" s="28"/>
      <c r="AF224" s="28"/>
      <c r="AG224" s="28"/>
      <c r="AH224" s="28"/>
      <c r="AI224" s="28"/>
      <c r="AJ224" s="28"/>
      <c r="AK224" s="28"/>
      <c r="AL224" s="28"/>
      <c r="AM224" s="28"/>
      <c r="AN224" s="28"/>
      <c r="AO224" s="28"/>
      <c r="AP224" s="28"/>
      <c r="AQ224" s="28"/>
      <c r="AR224" s="49"/>
      <c r="AS224" s="50"/>
      <c r="AT224" s="50"/>
      <c r="AU224" s="50"/>
      <c r="AV224" s="50"/>
      <c r="AW224" s="50"/>
      <c r="AX224" s="50"/>
      <c r="AY224" s="50"/>
      <c r="AZ224" s="51"/>
      <c r="BA224" s="52"/>
    </row>
    <row r="225" spans="1:53" s="37" customFormat="1" ht="21.75" customHeight="1">
      <c r="A225" s="99" t="s">
        <v>96</v>
      </c>
      <c r="B225" s="135" t="s">
        <v>139</v>
      </c>
      <c r="C225" s="138">
        <v>2022</v>
      </c>
      <c r="D225" s="99" t="s">
        <v>88</v>
      </c>
      <c r="E225" s="22" t="s">
        <v>47</v>
      </c>
      <c r="F225" s="96">
        <f t="shared" si="80"/>
        <v>6803.6450000000004</v>
      </c>
      <c r="G225" s="90">
        <f>G226+G228+G229+G230</f>
        <v>6803.6450000000004</v>
      </c>
      <c r="H225" s="90">
        <f>H226+H228+H229+H230</f>
        <v>0</v>
      </c>
      <c r="I225" s="90">
        <f>I226+I228+I229+I230</f>
        <v>0</v>
      </c>
      <c r="J225" s="90">
        <v>0</v>
      </c>
      <c r="K225" s="90">
        <v>0</v>
      </c>
      <c r="L225" s="90">
        <v>0</v>
      </c>
      <c r="M225" s="32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32"/>
      <c r="AA225" s="32"/>
      <c r="AB225" s="32"/>
      <c r="AC225" s="32"/>
      <c r="AD225" s="32"/>
      <c r="AE225" s="32"/>
      <c r="AF225" s="32"/>
      <c r="AG225" s="32"/>
      <c r="AH225" s="32"/>
      <c r="AI225" s="32"/>
      <c r="AJ225" s="32"/>
      <c r="AK225" s="32"/>
      <c r="AL225" s="32"/>
      <c r="AM225" s="32"/>
      <c r="AN225" s="32"/>
      <c r="AO225" s="32"/>
      <c r="AP225" s="32"/>
      <c r="AQ225" s="32"/>
      <c r="AR225" s="33"/>
      <c r="AS225" s="34"/>
      <c r="AT225" s="34"/>
      <c r="AU225" s="34"/>
      <c r="AV225" s="34"/>
      <c r="AW225" s="34"/>
      <c r="AX225" s="34"/>
      <c r="AY225" s="34"/>
      <c r="AZ225" s="35"/>
      <c r="BA225" s="36"/>
    </row>
    <row r="226" spans="1:53" s="37" customFormat="1" ht="21.75" customHeight="1">
      <c r="A226" s="100"/>
      <c r="B226" s="136"/>
      <c r="C226" s="139"/>
      <c r="D226" s="100"/>
      <c r="E226" s="22" t="s">
        <v>55</v>
      </c>
      <c r="F226" s="96">
        <f t="shared" si="80"/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32"/>
      <c r="N226" s="32"/>
      <c r="O226" s="32"/>
      <c r="P226" s="32"/>
      <c r="Q226" s="32"/>
      <c r="R226" s="32"/>
      <c r="S226" s="32"/>
      <c r="T226" s="32"/>
      <c r="U226" s="32"/>
      <c r="V226" s="32"/>
      <c r="W226" s="32"/>
      <c r="X226" s="32"/>
      <c r="Y226" s="32"/>
      <c r="Z226" s="32"/>
      <c r="AA226" s="32"/>
      <c r="AB226" s="32"/>
      <c r="AC226" s="32"/>
      <c r="AD226" s="32"/>
      <c r="AE226" s="32"/>
      <c r="AF226" s="32"/>
      <c r="AG226" s="32"/>
      <c r="AH226" s="32"/>
      <c r="AI226" s="32"/>
      <c r="AJ226" s="32"/>
      <c r="AK226" s="32"/>
      <c r="AL226" s="32"/>
      <c r="AM226" s="32"/>
      <c r="AN226" s="32"/>
      <c r="AO226" s="32"/>
      <c r="AP226" s="32"/>
      <c r="AQ226" s="32"/>
      <c r="AR226" s="33"/>
      <c r="AS226" s="34"/>
      <c r="AT226" s="34"/>
      <c r="AU226" s="34"/>
      <c r="AV226" s="34"/>
      <c r="AW226" s="34"/>
      <c r="AX226" s="34"/>
      <c r="AY226" s="34"/>
      <c r="AZ226" s="35"/>
      <c r="BA226" s="36"/>
    </row>
    <row r="227" spans="1:53" s="37" customFormat="1" ht="27.75" customHeight="1">
      <c r="A227" s="100"/>
      <c r="B227" s="136"/>
      <c r="C227" s="139"/>
      <c r="D227" s="100"/>
      <c r="E227" s="21" t="s">
        <v>166</v>
      </c>
      <c r="F227" s="96">
        <f t="shared" si="80"/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32"/>
      <c r="N227" s="32"/>
      <c r="O227" s="32"/>
      <c r="P227" s="32"/>
      <c r="Q227" s="32"/>
      <c r="R227" s="32"/>
      <c r="S227" s="32"/>
      <c r="T227" s="32"/>
      <c r="U227" s="32"/>
      <c r="V227" s="32"/>
      <c r="W227" s="32"/>
      <c r="X227" s="32"/>
      <c r="Y227" s="32"/>
      <c r="Z227" s="32"/>
      <c r="AA227" s="32"/>
      <c r="AB227" s="32"/>
      <c r="AC227" s="32"/>
      <c r="AD227" s="32"/>
      <c r="AE227" s="32"/>
      <c r="AF227" s="32"/>
      <c r="AG227" s="32"/>
      <c r="AH227" s="32"/>
      <c r="AI227" s="32"/>
      <c r="AJ227" s="32"/>
      <c r="AK227" s="32"/>
      <c r="AL227" s="32"/>
      <c r="AM227" s="32"/>
      <c r="AN227" s="32"/>
      <c r="AO227" s="32"/>
      <c r="AP227" s="32"/>
      <c r="AQ227" s="32"/>
      <c r="AR227" s="33"/>
      <c r="AS227" s="34"/>
      <c r="AT227" s="34"/>
      <c r="AU227" s="34"/>
      <c r="AV227" s="34"/>
      <c r="AW227" s="34"/>
      <c r="AX227" s="34"/>
      <c r="AY227" s="34"/>
      <c r="AZ227" s="35"/>
      <c r="BA227" s="36"/>
    </row>
    <row r="228" spans="1:53" s="37" customFormat="1" ht="21.75" customHeight="1">
      <c r="A228" s="100"/>
      <c r="B228" s="136"/>
      <c r="C228" s="139"/>
      <c r="D228" s="100"/>
      <c r="E228" s="22" t="s">
        <v>56</v>
      </c>
      <c r="F228" s="96">
        <f t="shared" si="80"/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32"/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2"/>
      <c r="Y228" s="32"/>
      <c r="Z228" s="32"/>
      <c r="AA228" s="32"/>
      <c r="AB228" s="32"/>
      <c r="AC228" s="32"/>
      <c r="AD228" s="32"/>
      <c r="AE228" s="32"/>
      <c r="AF228" s="32"/>
      <c r="AG228" s="32"/>
      <c r="AH228" s="32"/>
      <c r="AI228" s="32"/>
      <c r="AJ228" s="32"/>
      <c r="AK228" s="32"/>
      <c r="AL228" s="32"/>
      <c r="AM228" s="32"/>
      <c r="AN228" s="32"/>
      <c r="AO228" s="32"/>
      <c r="AP228" s="32"/>
      <c r="AQ228" s="32"/>
      <c r="AR228" s="33"/>
      <c r="AS228" s="34"/>
      <c r="AT228" s="34"/>
      <c r="AU228" s="34"/>
      <c r="AV228" s="34"/>
      <c r="AW228" s="34"/>
      <c r="AX228" s="34"/>
      <c r="AY228" s="34"/>
      <c r="AZ228" s="35"/>
      <c r="BA228" s="36"/>
    </row>
    <row r="229" spans="1:53" s="37" customFormat="1" ht="21.75" customHeight="1">
      <c r="A229" s="100"/>
      <c r="B229" s="136"/>
      <c r="C229" s="139"/>
      <c r="D229" s="100"/>
      <c r="E229" s="22" t="s">
        <v>57</v>
      </c>
      <c r="F229" s="96">
        <f t="shared" si="80"/>
        <v>6803.6450000000004</v>
      </c>
      <c r="G229" s="15">
        <v>6803.6450000000004</v>
      </c>
      <c r="H229" s="15"/>
      <c r="I229" s="15">
        <v>0</v>
      </c>
      <c r="J229" s="15">
        <v>0</v>
      </c>
      <c r="K229" s="15">
        <v>0</v>
      </c>
      <c r="L229" s="15">
        <v>0</v>
      </c>
      <c r="M229" s="32" t="s">
        <v>131</v>
      </c>
      <c r="N229" s="32"/>
      <c r="O229" s="32"/>
      <c r="P229" s="32"/>
      <c r="Q229" s="32"/>
      <c r="R229" s="32"/>
      <c r="S229" s="32"/>
      <c r="T229" s="32"/>
      <c r="U229" s="32"/>
      <c r="V229" s="32"/>
      <c r="W229" s="32"/>
      <c r="X229" s="32"/>
      <c r="Y229" s="32"/>
      <c r="Z229" s="32"/>
      <c r="AA229" s="32"/>
      <c r="AB229" s="32"/>
      <c r="AC229" s="32"/>
      <c r="AD229" s="32"/>
      <c r="AE229" s="32"/>
      <c r="AF229" s="32"/>
      <c r="AG229" s="32"/>
      <c r="AH229" s="32"/>
      <c r="AI229" s="32"/>
      <c r="AJ229" s="32"/>
      <c r="AK229" s="32"/>
      <c r="AL229" s="32"/>
      <c r="AM229" s="32"/>
      <c r="AN229" s="32"/>
      <c r="AO229" s="32"/>
      <c r="AP229" s="32"/>
      <c r="AQ229" s="32"/>
      <c r="AR229" s="33"/>
      <c r="AS229" s="34"/>
      <c r="AT229" s="34"/>
      <c r="AU229" s="34"/>
      <c r="AV229" s="34"/>
      <c r="AW229" s="34"/>
      <c r="AX229" s="34"/>
      <c r="AY229" s="34"/>
      <c r="AZ229" s="35"/>
      <c r="BA229" s="36"/>
    </row>
    <row r="230" spans="1:53" s="53" customFormat="1" ht="18" customHeight="1">
      <c r="A230" s="101"/>
      <c r="B230" s="137"/>
      <c r="C230" s="140"/>
      <c r="D230" s="101"/>
      <c r="E230" s="22" t="s">
        <v>58</v>
      </c>
      <c r="F230" s="96">
        <f t="shared" si="80"/>
        <v>0</v>
      </c>
      <c r="G230" s="14">
        <v>0</v>
      </c>
      <c r="H230" s="14">
        <v>0</v>
      </c>
      <c r="I230" s="14">
        <v>0</v>
      </c>
      <c r="J230" s="14">
        <v>0</v>
      </c>
      <c r="K230" s="14">
        <v>0</v>
      </c>
      <c r="L230" s="14">
        <v>0</v>
      </c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  <c r="AC230" s="28"/>
      <c r="AD230" s="28"/>
      <c r="AE230" s="28"/>
      <c r="AF230" s="28"/>
      <c r="AG230" s="28"/>
      <c r="AH230" s="28"/>
      <c r="AI230" s="28"/>
      <c r="AJ230" s="28"/>
      <c r="AK230" s="28"/>
      <c r="AL230" s="28"/>
      <c r="AM230" s="28"/>
      <c r="AN230" s="28"/>
      <c r="AO230" s="28"/>
      <c r="AP230" s="28"/>
      <c r="AQ230" s="28"/>
      <c r="AR230" s="49"/>
      <c r="AS230" s="50"/>
      <c r="AT230" s="50"/>
      <c r="AU230" s="50"/>
      <c r="AV230" s="50"/>
      <c r="AW230" s="50"/>
      <c r="AX230" s="50"/>
      <c r="AY230" s="50"/>
      <c r="AZ230" s="51"/>
      <c r="BA230" s="52"/>
    </row>
    <row r="231" spans="1:53" s="37" customFormat="1" ht="21.75" customHeight="1">
      <c r="A231" s="99" t="s">
        <v>107</v>
      </c>
      <c r="B231" s="102" t="s">
        <v>109</v>
      </c>
      <c r="C231" s="116">
        <v>2023</v>
      </c>
      <c r="D231" s="99" t="s">
        <v>132</v>
      </c>
      <c r="E231" s="22" t="s">
        <v>47</v>
      </c>
      <c r="F231" s="96">
        <f t="shared" si="80"/>
        <v>715.09608000000003</v>
      </c>
      <c r="G231" s="90">
        <f>G232+G234+G235+G236</f>
        <v>0</v>
      </c>
      <c r="H231" s="90">
        <f>H232+H234+H235+H236</f>
        <v>715.09608000000003</v>
      </c>
      <c r="I231" s="90">
        <f>I232+I234+I235+I236</f>
        <v>0</v>
      </c>
      <c r="J231" s="90">
        <f>J232+J234+J235+J236</f>
        <v>0</v>
      </c>
      <c r="K231" s="90">
        <f t="shared" ref="K231:L231" si="81">K232+K234+K235+K236</f>
        <v>0</v>
      </c>
      <c r="L231" s="90">
        <f t="shared" si="81"/>
        <v>0</v>
      </c>
      <c r="M231" s="32"/>
      <c r="N231" s="32"/>
      <c r="O231" s="32"/>
      <c r="P231" s="32"/>
      <c r="Q231" s="32"/>
      <c r="R231" s="32"/>
      <c r="S231" s="32"/>
      <c r="T231" s="32"/>
      <c r="U231" s="32"/>
      <c r="V231" s="32"/>
      <c r="W231" s="32"/>
      <c r="X231" s="32"/>
      <c r="Y231" s="32"/>
      <c r="Z231" s="32"/>
      <c r="AA231" s="32"/>
      <c r="AB231" s="32"/>
      <c r="AC231" s="32"/>
      <c r="AD231" s="32"/>
      <c r="AE231" s="32"/>
      <c r="AF231" s="32"/>
      <c r="AG231" s="32"/>
      <c r="AH231" s="32"/>
      <c r="AI231" s="32"/>
      <c r="AJ231" s="32"/>
      <c r="AK231" s="32"/>
      <c r="AL231" s="32"/>
      <c r="AM231" s="32"/>
      <c r="AN231" s="32"/>
      <c r="AO231" s="32"/>
      <c r="AP231" s="32"/>
      <c r="AQ231" s="32"/>
      <c r="AR231" s="33"/>
      <c r="AS231" s="34"/>
      <c r="AT231" s="34"/>
      <c r="AU231" s="34"/>
      <c r="AV231" s="34"/>
      <c r="AW231" s="34"/>
      <c r="AX231" s="34"/>
      <c r="AY231" s="34"/>
      <c r="AZ231" s="35"/>
      <c r="BA231" s="36"/>
    </row>
    <row r="232" spans="1:53" s="37" customFormat="1" ht="21.75" customHeight="1">
      <c r="A232" s="100"/>
      <c r="B232" s="103"/>
      <c r="C232" s="117"/>
      <c r="D232" s="108"/>
      <c r="E232" s="22" t="s">
        <v>55</v>
      </c>
      <c r="F232" s="96">
        <f t="shared" si="80"/>
        <v>0</v>
      </c>
      <c r="G232" s="14">
        <v>0</v>
      </c>
      <c r="H232" s="14">
        <v>0</v>
      </c>
      <c r="I232" s="14"/>
      <c r="J232" s="14">
        <v>0</v>
      </c>
      <c r="K232" s="14">
        <v>0</v>
      </c>
      <c r="L232" s="14">
        <v>0</v>
      </c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  <c r="AA232" s="32"/>
      <c r="AB232" s="32"/>
      <c r="AC232" s="32"/>
      <c r="AD232" s="32"/>
      <c r="AE232" s="32"/>
      <c r="AF232" s="32"/>
      <c r="AG232" s="32"/>
      <c r="AH232" s="32"/>
      <c r="AI232" s="32"/>
      <c r="AJ232" s="32"/>
      <c r="AK232" s="32"/>
      <c r="AL232" s="32"/>
      <c r="AM232" s="32"/>
      <c r="AN232" s="32"/>
      <c r="AO232" s="32"/>
      <c r="AP232" s="32"/>
      <c r="AQ232" s="32"/>
      <c r="AR232" s="33"/>
      <c r="AS232" s="34"/>
      <c r="AT232" s="34"/>
      <c r="AU232" s="34"/>
      <c r="AV232" s="34"/>
      <c r="AW232" s="34"/>
      <c r="AX232" s="34"/>
      <c r="AY232" s="34"/>
      <c r="AZ232" s="35"/>
      <c r="BA232" s="36"/>
    </row>
    <row r="233" spans="1:53" s="37" customFormat="1" ht="30" customHeight="1">
      <c r="A233" s="100"/>
      <c r="B233" s="103"/>
      <c r="C233" s="117"/>
      <c r="D233" s="108"/>
      <c r="E233" s="21" t="s">
        <v>166</v>
      </c>
      <c r="F233" s="96">
        <f t="shared" si="80"/>
        <v>0</v>
      </c>
      <c r="G233" s="14">
        <v>0</v>
      </c>
      <c r="H233" s="14">
        <v>0</v>
      </c>
      <c r="I233" s="14">
        <v>0</v>
      </c>
      <c r="J233" s="14">
        <v>0</v>
      </c>
      <c r="K233" s="14">
        <v>0</v>
      </c>
      <c r="L233" s="14">
        <v>0</v>
      </c>
      <c r="M233" s="32"/>
      <c r="N233" s="32"/>
      <c r="O233" s="32"/>
      <c r="P233" s="32"/>
      <c r="Q233" s="32"/>
      <c r="R233" s="32"/>
      <c r="S233" s="32"/>
      <c r="T233" s="32"/>
      <c r="U233" s="32"/>
      <c r="V233" s="32"/>
      <c r="W233" s="32"/>
      <c r="X233" s="32"/>
      <c r="Y233" s="32"/>
      <c r="Z233" s="32"/>
      <c r="AA233" s="32"/>
      <c r="AB233" s="32"/>
      <c r="AC233" s="32"/>
      <c r="AD233" s="32"/>
      <c r="AE233" s="32"/>
      <c r="AF233" s="32"/>
      <c r="AG233" s="32"/>
      <c r="AH233" s="32"/>
      <c r="AI233" s="32"/>
      <c r="AJ233" s="32"/>
      <c r="AK233" s="32"/>
      <c r="AL233" s="32"/>
      <c r="AM233" s="32"/>
      <c r="AN233" s="32"/>
      <c r="AO233" s="32"/>
      <c r="AP233" s="32"/>
      <c r="AQ233" s="32"/>
      <c r="AR233" s="33"/>
      <c r="AS233" s="34"/>
      <c r="AT233" s="34"/>
      <c r="AU233" s="34"/>
      <c r="AV233" s="34"/>
      <c r="AW233" s="34"/>
      <c r="AX233" s="34"/>
      <c r="AY233" s="34"/>
      <c r="AZ233" s="35"/>
      <c r="BA233" s="36"/>
    </row>
    <row r="234" spans="1:53" s="37" customFormat="1" ht="21.75" customHeight="1">
      <c r="A234" s="100"/>
      <c r="B234" s="103"/>
      <c r="C234" s="117"/>
      <c r="D234" s="108"/>
      <c r="E234" s="22" t="s">
        <v>56</v>
      </c>
      <c r="F234" s="96">
        <f t="shared" si="80"/>
        <v>679.34127999999998</v>
      </c>
      <c r="G234" s="14">
        <v>0</v>
      </c>
      <c r="H234" s="23">
        <v>679.34127999999998</v>
      </c>
      <c r="I234" s="23"/>
      <c r="J234" s="14">
        <v>0</v>
      </c>
      <c r="K234" s="14">
        <v>0</v>
      </c>
      <c r="L234" s="14">
        <v>0</v>
      </c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2"/>
      <c r="AN234" s="32"/>
      <c r="AO234" s="32"/>
      <c r="AP234" s="32"/>
      <c r="AQ234" s="32"/>
      <c r="AR234" s="33"/>
      <c r="AS234" s="34"/>
      <c r="AT234" s="34"/>
      <c r="AU234" s="34"/>
      <c r="AV234" s="34"/>
      <c r="AW234" s="34"/>
      <c r="AX234" s="34"/>
      <c r="AY234" s="34"/>
      <c r="AZ234" s="35"/>
      <c r="BA234" s="36"/>
    </row>
    <row r="235" spans="1:53" s="37" customFormat="1" ht="21.75" customHeight="1">
      <c r="A235" s="100"/>
      <c r="B235" s="103"/>
      <c r="C235" s="117"/>
      <c r="D235" s="108"/>
      <c r="E235" s="22" t="s">
        <v>57</v>
      </c>
      <c r="F235" s="96">
        <f t="shared" si="80"/>
        <v>35.754800000000003</v>
      </c>
      <c r="G235" s="14">
        <v>0</v>
      </c>
      <c r="H235" s="23">
        <v>35.754800000000003</v>
      </c>
      <c r="I235" s="23"/>
      <c r="J235" s="14">
        <v>0</v>
      </c>
      <c r="K235" s="14">
        <v>0</v>
      </c>
      <c r="L235" s="14">
        <v>0</v>
      </c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  <c r="AN235" s="32"/>
      <c r="AO235" s="32"/>
      <c r="AP235" s="32"/>
      <c r="AQ235" s="32"/>
      <c r="AR235" s="33"/>
      <c r="AS235" s="34"/>
      <c r="AT235" s="34"/>
      <c r="AU235" s="34"/>
      <c r="AV235" s="34"/>
      <c r="AW235" s="34"/>
      <c r="AX235" s="34"/>
      <c r="AY235" s="34"/>
      <c r="AZ235" s="35"/>
      <c r="BA235" s="36"/>
    </row>
    <row r="236" spans="1:53" s="53" customFormat="1" ht="21.75" customHeight="1">
      <c r="A236" s="101"/>
      <c r="B236" s="104"/>
      <c r="C236" s="118"/>
      <c r="D236" s="109"/>
      <c r="E236" s="22" t="s">
        <v>58</v>
      </c>
      <c r="F236" s="96">
        <f t="shared" si="80"/>
        <v>0</v>
      </c>
      <c r="G236" s="14">
        <v>0</v>
      </c>
      <c r="H236" s="14">
        <v>0</v>
      </c>
      <c r="I236" s="14">
        <v>0</v>
      </c>
      <c r="J236" s="14">
        <v>0</v>
      </c>
      <c r="K236" s="14">
        <v>0</v>
      </c>
      <c r="L236" s="14">
        <v>0</v>
      </c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  <c r="AB236" s="28"/>
      <c r="AC236" s="28"/>
      <c r="AD236" s="28"/>
      <c r="AE236" s="28"/>
      <c r="AF236" s="28"/>
      <c r="AG236" s="28"/>
      <c r="AH236" s="28"/>
      <c r="AI236" s="28"/>
      <c r="AJ236" s="28"/>
      <c r="AK236" s="28"/>
      <c r="AL236" s="28"/>
      <c r="AM236" s="28"/>
      <c r="AN236" s="28"/>
      <c r="AO236" s="28"/>
      <c r="AP236" s="28"/>
      <c r="AQ236" s="28"/>
      <c r="AR236" s="49"/>
      <c r="AS236" s="50"/>
      <c r="AT236" s="50"/>
      <c r="AU236" s="50"/>
      <c r="AV236" s="50"/>
      <c r="AW236" s="50"/>
      <c r="AX236" s="50"/>
      <c r="AY236" s="50"/>
      <c r="AZ236" s="51"/>
      <c r="BA236" s="52"/>
    </row>
    <row r="237" spans="1:53" s="37" customFormat="1" ht="21.75" customHeight="1">
      <c r="A237" s="99" t="s">
        <v>135</v>
      </c>
      <c r="B237" s="102" t="s">
        <v>136</v>
      </c>
      <c r="C237" s="116">
        <v>2023</v>
      </c>
      <c r="D237" s="99" t="s">
        <v>137</v>
      </c>
      <c r="E237" s="22" t="s">
        <v>47</v>
      </c>
      <c r="F237" s="96">
        <f t="shared" si="80"/>
        <v>1500</v>
      </c>
      <c r="G237" s="90">
        <f>G238+G240+G241+G242</f>
        <v>0</v>
      </c>
      <c r="H237" s="90">
        <f>H238+H240+H241+H242</f>
        <v>1500</v>
      </c>
      <c r="I237" s="90">
        <f>I238+I240+I241+I242</f>
        <v>0</v>
      </c>
      <c r="J237" s="90">
        <f>J238+J240+J241+J242</f>
        <v>0</v>
      </c>
      <c r="K237" s="90">
        <f t="shared" ref="K237:L237" si="82">K238+K240+K241+K242</f>
        <v>0</v>
      </c>
      <c r="L237" s="90">
        <f t="shared" si="82"/>
        <v>0</v>
      </c>
      <c r="M237" s="32"/>
      <c r="N237" s="32"/>
      <c r="O237" s="32"/>
      <c r="P237" s="32"/>
      <c r="Q237" s="32"/>
      <c r="R237" s="32"/>
      <c r="S237" s="32"/>
      <c r="T237" s="32"/>
      <c r="U237" s="32"/>
      <c r="V237" s="32"/>
      <c r="W237" s="32"/>
      <c r="X237" s="32"/>
      <c r="Y237" s="32"/>
      <c r="Z237" s="32"/>
      <c r="AA237" s="32"/>
      <c r="AB237" s="32"/>
      <c r="AC237" s="32"/>
      <c r="AD237" s="32"/>
      <c r="AE237" s="32"/>
      <c r="AF237" s="32"/>
      <c r="AG237" s="32"/>
      <c r="AH237" s="32"/>
      <c r="AI237" s="32"/>
      <c r="AJ237" s="32"/>
      <c r="AK237" s="32"/>
      <c r="AL237" s="32"/>
      <c r="AM237" s="32"/>
      <c r="AN237" s="32"/>
      <c r="AO237" s="32"/>
      <c r="AP237" s="32"/>
      <c r="AQ237" s="32"/>
      <c r="AR237" s="33"/>
      <c r="AS237" s="34"/>
      <c r="AT237" s="34"/>
      <c r="AU237" s="34"/>
      <c r="AV237" s="34"/>
      <c r="AW237" s="34"/>
      <c r="AX237" s="34"/>
      <c r="AY237" s="34"/>
      <c r="AZ237" s="35"/>
      <c r="BA237" s="36"/>
    </row>
    <row r="238" spans="1:53" s="37" customFormat="1" ht="21.75" customHeight="1">
      <c r="A238" s="100"/>
      <c r="B238" s="103"/>
      <c r="C238" s="117"/>
      <c r="D238" s="108"/>
      <c r="E238" s="22" t="s">
        <v>55</v>
      </c>
      <c r="F238" s="96">
        <f t="shared" si="80"/>
        <v>0</v>
      </c>
      <c r="G238" s="14">
        <v>0</v>
      </c>
      <c r="H238" s="14">
        <v>0</v>
      </c>
      <c r="I238" s="14">
        <v>0</v>
      </c>
      <c r="J238" s="14">
        <v>0</v>
      </c>
      <c r="K238" s="14">
        <v>0</v>
      </c>
      <c r="L238" s="14">
        <v>0</v>
      </c>
      <c r="M238" s="32"/>
      <c r="N238" s="32"/>
      <c r="O238" s="32"/>
      <c r="P238" s="32"/>
      <c r="Q238" s="32"/>
      <c r="R238" s="32"/>
      <c r="S238" s="32"/>
      <c r="T238" s="32"/>
      <c r="U238" s="32"/>
      <c r="V238" s="32"/>
      <c r="W238" s="32"/>
      <c r="X238" s="32"/>
      <c r="Y238" s="32"/>
      <c r="Z238" s="32"/>
      <c r="AA238" s="32"/>
      <c r="AB238" s="32"/>
      <c r="AC238" s="32"/>
      <c r="AD238" s="32"/>
      <c r="AE238" s="32"/>
      <c r="AF238" s="32"/>
      <c r="AG238" s="32"/>
      <c r="AH238" s="32"/>
      <c r="AI238" s="32"/>
      <c r="AJ238" s="32"/>
      <c r="AK238" s="32"/>
      <c r="AL238" s="32"/>
      <c r="AM238" s="32"/>
      <c r="AN238" s="32"/>
      <c r="AO238" s="32"/>
      <c r="AP238" s="32"/>
      <c r="AQ238" s="32"/>
      <c r="AR238" s="33"/>
      <c r="AS238" s="34"/>
      <c r="AT238" s="34"/>
      <c r="AU238" s="34"/>
      <c r="AV238" s="34"/>
      <c r="AW238" s="34"/>
      <c r="AX238" s="34"/>
      <c r="AY238" s="34"/>
      <c r="AZ238" s="35"/>
      <c r="BA238" s="36"/>
    </row>
    <row r="239" spans="1:53" s="37" customFormat="1" ht="28.5" customHeight="1">
      <c r="A239" s="100"/>
      <c r="B239" s="103"/>
      <c r="C239" s="117"/>
      <c r="D239" s="108"/>
      <c r="E239" s="21" t="s">
        <v>166</v>
      </c>
      <c r="F239" s="96">
        <f t="shared" si="80"/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  <c r="AA239" s="32"/>
      <c r="AB239" s="32"/>
      <c r="AC239" s="32"/>
      <c r="AD239" s="32"/>
      <c r="AE239" s="32"/>
      <c r="AF239" s="32"/>
      <c r="AG239" s="32"/>
      <c r="AH239" s="32"/>
      <c r="AI239" s="32"/>
      <c r="AJ239" s="32"/>
      <c r="AK239" s="32"/>
      <c r="AL239" s="32"/>
      <c r="AM239" s="32"/>
      <c r="AN239" s="32"/>
      <c r="AO239" s="32"/>
      <c r="AP239" s="32"/>
      <c r="AQ239" s="32"/>
      <c r="AR239" s="33"/>
      <c r="AS239" s="34"/>
      <c r="AT239" s="34"/>
      <c r="AU239" s="34"/>
      <c r="AV239" s="34"/>
      <c r="AW239" s="34"/>
      <c r="AX239" s="34"/>
      <c r="AY239" s="34"/>
      <c r="AZ239" s="35"/>
      <c r="BA239" s="36"/>
    </row>
    <row r="240" spans="1:53" s="37" customFormat="1" ht="21.75" customHeight="1">
      <c r="A240" s="100"/>
      <c r="B240" s="103"/>
      <c r="C240" s="117"/>
      <c r="D240" s="108"/>
      <c r="E240" s="22" t="s">
        <v>56</v>
      </c>
      <c r="F240" s="96">
        <f t="shared" si="80"/>
        <v>0</v>
      </c>
      <c r="G240" s="14">
        <v>0</v>
      </c>
      <c r="H240" s="14">
        <v>0</v>
      </c>
      <c r="I240" s="23">
        <v>0</v>
      </c>
      <c r="J240" s="14">
        <v>0</v>
      </c>
      <c r="K240" s="14">
        <v>0</v>
      </c>
      <c r="L240" s="14">
        <v>0</v>
      </c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  <c r="AA240" s="32"/>
      <c r="AB240" s="32"/>
      <c r="AC240" s="32"/>
      <c r="AD240" s="32"/>
      <c r="AE240" s="32"/>
      <c r="AF240" s="32"/>
      <c r="AG240" s="32"/>
      <c r="AH240" s="32"/>
      <c r="AI240" s="32"/>
      <c r="AJ240" s="32"/>
      <c r="AK240" s="32"/>
      <c r="AL240" s="32"/>
      <c r="AM240" s="32"/>
      <c r="AN240" s="32"/>
      <c r="AO240" s="32"/>
      <c r="AP240" s="32"/>
      <c r="AQ240" s="32"/>
      <c r="AR240" s="33"/>
      <c r="AS240" s="34"/>
      <c r="AT240" s="34"/>
      <c r="AU240" s="34"/>
      <c r="AV240" s="34"/>
      <c r="AW240" s="34"/>
      <c r="AX240" s="34"/>
      <c r="AY240" s="34"/>
      <c r="AZ240" s="35"/>
      <c r="BA240" s="36"/>
    </row>
    <row r="241" spans="1:53" s="37" customFormat="1" ht="21.75" customHeight="1">
      <c r="A241" s="100"/>
      <c r="B241" s="103"/>
      <c r="C241" s="117"/>
      <c r="D241" s="108"/>
      <c r="E241" s="22" t="s">
        <v>57</v>
      </c>
      <c r="F241" s="96">
        <f t="shared" si="80"/>
        <v>1500</v>
      </c>
      <c r="G241" s="14">
        <v>0</v>
      </c>
      <c r="H241" s="23">
        <v>1500</v>
      </c>
      <c r="I241" s="23"/>
      <c r="J241" s="14">
        <v>0</v>
      </c>
      <c r="K241" s="14">
        <v>0</v>
      </c>
      <c r="L241" s="14">
        <v>0</v>
      </c>
      <c r="M241" s="32"/>
      <c r="N241" s="32"/>
      <c r="O241" s="32"/>
      <c r="P241" s="32"/>
      <c r="Q241" s="32"/>
      <c r="R241" s="32"/>
      <c r="S241" s="32"/>
      <c r="T241" s="32"/>
      <c r="U241" s="32"/>
      <c r="V241" s="32"/>
      <c r="W241" s="32"/>
      <c r="X241" s="32"/>
      <c r="Y241" s="32"/>
      <c r="Z241" s="32"/>
      <c r="AA241" s="32"/>
      <c r="AB241" s="32"/>
      <c r="AC241" s="32"/>
      <c r="AD241" s="32"/>
      <c r="AE241" s="32"/>
      <c r="AF241" s="32"/>
      <c r="AG241" s="32"/>
      <c r="AH241" s="32"/>
      <c r="AI241" s="32"/>
      <c r="AJ241" s="32"/>
      <c r="AK241" s="32"/>
      <c r="AL241" s="32"/>
      <c r="AM241" s="32"/>
      <c r="AN241" s="32"/>
      <c r="AO241" s="32"/>
      <c r="AP241" s="32"/>
      <c r="AQ241" s="32"/>
      <c r="AR241" s="33"/>
      <c r="AS241" s="34"/>
      <c r="AT241" s="34"/>
      <c r="AU241" s="34"/>
      <c r="AV241" s="34"/>
      <c r="AW241" s="34"/>
      <c r="AX241" s="34"/>
      <c r="AY241" s="34"/>
      <c r="AZ241" s="35"/>
      <c r="BA241" s="36"/>
    </row>
    <row r="242" spans="1:53" s="53" customFormat="1" ht="21.75" customHeight="1">
      <c r="A242" s="101"/>
      <c r="B242" s="104"/>
      <c r="C242" s="118"/>
      <c r="D242" s="109"/>
      <c r="E242" s="22" t="s">
        <v>58</v>
      </c>
      <c r="F242" s="96">
        <f>G242+H242+I242+J242+K242</f>
        <v>0</v>
      </c>
      <c r="G242" s="14">
        <v>0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49"/>
      <c r="AS242" s="50"/>
      <c r="AT242" s="50"/>
      <c r="AU242" s="50"/>
      <c r="AV242" s="50"/>
      <c r="AW242" s="50"/>
      <c r="AX242" s="50"/>
      <c r="AY242" s="50"/>
      <c r="AZ242" s="51"/>
      <c r="BA242" s="52"/>
    </row>
    <row r="243" spans="1:53" s="37" customFormat="1" ht="21.75" customHeight="1">
      <c r="A243" s="99" t="s">
        <v>164</v>
      </c>
      <c r="B243" s="102" t="s">
        <v>165</v>
      </c>
      <c r="C243" s="116">
        <v>2024</v>
      </c>
      <c r="D243" s="99" t="s">
        <v>132</v>
      </c>
      <c r="E243" s="22" t="s">
        <v>47</v>
      </c>
      <c r="F243" s="96">
        <f>G243+H243+I243+J243+K243+L243</f>
        <v>6963.5228000000006</v>
      </c>
      <c r="G243" s="90">
        <f>G244+G246+G247+G248</f>
        <v>0</v>
      </c>
      <c r="H243" s="90">
        <f>H244+H246+H247+H248</f>
        <v>0</v>
      </c>
      <c r="I243" s="90">
        <f>I244+I245+I246+I247</f>
        <v>6963.5228000000006</v>
      </c>
      <c r="J243" s="90">
        <f>J244+J245+J246+J247+J248</f>
        <v>0</v>
      </c>
      <c r="K243" s="90">
        <f>K244+K246+K247+K248</f>
        <v>0</v>
      </c>
      <c r="L243" s="90">
        <f>L244+L246+L247+L248</f>
        <v>0</v>
      </c>
      <c r="M243" s="32"/>
      <c r="N243" s="32"/>
      <c r="O243" s="32"/>
      <c r="P243" s="32"/>
      <c r="Q243" s="32"/>
      <c r="R243" s="32"/>
      <c r="S243" s="32"/>
      <c r="T243" s="32"/>
      <c r="U243" s="32"/>
      <c r="V243" s="32"/>
      <c r="W243" s="32"/>
      <c r="X243" s="32"/>
      <c r="Y243" s="32"/>
      <c r="Z243" s="32"/>
      <c r="AA243" s="32"/>
      <c r="AB243" s="32"/>
      <c r="AC243" s="32"/>
      <c r="AD243" s="32"/>
      <c r="AE243" s="32"/>
      <c r="AF243" s="32"/>
      <c r="AG243" s="32"/>
      <c r="AH243" s="32"/>
      <c r="AI243" s="32"/>
      <c r="AJ243" s="32"/>
      <c r="AK243" s="32"/>
      <c r="AL243" s="32"/>
      <c r="AM243" s="32"/>
      <c r="AN243" s="32"/>
      <c r="AO243" s="32"/>
      <c r="AP243" s="32"/>
      <c r="AQ243" s="32"/>
      <c r="AR243" s="33"/>
      <c r="AS243" s="34"/>
      <c r="AT243" s="34"/>
      <c r="AU243" s="34"/>
      <c r="AV243" s="34"/>
      <c r="AW243" s="34"/>
      <c r="AX243" s="34"/>
      <c r="AY243" s="34"/>
      <c r="AZ243" s="35"/>
      <c r="BA243" s="36"/>
    </row>
    <row r="244" spans="1:53" s="37" customFormat="1" ht="21.75" customHeight="1">
      <c r="A244" s="100"/>
      <c r="B244" s="103"/>
      <c r="C244" s="117"/>
      <c r="D244" s="108"/>
      <c r="E244" s="22" t="s">
        <v>55</v>
      </c>
      <c r="F244" s="96">
        <f>G244+H244+I244+J244+K244+L244</f>
        <v>0</v>
      </c>
      <c r="G244" s="14">
        <v>0</v>
      </c>
      <c r="H244" s="14">
        <v>0</v>
      </c>
      <c r="I244" s="14">
        <v>0</v>
      </c>
      <c r="J244" s="14">
        <v>0</v>
      </c>
      <c r="K244" s="14">
        <v>0</v>
      </c>
      <c r="L244" s="14">
        <v>0</v>
      </c>
      <c r="M244" s="32"/>
      <c r="N244" s="32"/>
      <c r="O244" s="32"/>
      <c r="P244" s="32"/>
      <c r="Q244" s="32"/>
      <c r="R244" s="32"/>
      <c r="S244" s="32"/>
      <c r="T244" s="32"/>
      <c r="U244" s="32"/>
      <c r="V244" s="32"/>
      <c r="W244" s="32"/>
      <c r="X244" s="32"/>
      <c r="Y244" s="32"/>
      <c r="Z244" s="32"/>
      <c r="AA244" s="32"/>
      <c r="AB244" s="32"/>
      <c r="AC244" s="32"/>
      <c r="AD244" s="32"/>
      <c r="AE244" s="32"/>
      <c r="AF244" s="32"/>
      <c r="AG244" s="32"/>
      <c r="AH244" s="32"/>
      <c r="AI244" s="32"/>
      <c r="AJ244" s="32"/>
      <c r="AK244" s="32"/>
      <c r="AL244" s="32"/>
      <c r="AM244" s="32"/>
      <c r="AN244" s="32"/>
      <c r="AO244" s="32"/>
      <c r="AP244" s="32"/>
      <c r="AQ244" s="32"/>
      <c r="AR244" s="33"/>
      <c r="AS244" s="34"/>
      <c r="AT244" s="34"/>
      <c r="AU244" s="34"/>
      <c r="AV244" s="34"/>
      <c r="AW244" s="34"/>
      <c r="AX244" s="34"/>
      <c r="AY244" s="34"/>
      <c r="AZ244" s="35"/>
      <c r="BA244" s="36"/>
    </row>
    <row r="245" spans="1:53" s="37" customFormat="1" ht="30.75" customHeight="1">
      <c r="A245" s="100"/>
      <c r="B245" s="103"/>
      <c r="C245" s="117"/>
      <c r="D245" s="108"/>
      <c r="E245" s="21" t="s">
        <v>166</v>
      </c>
      <c r="F245" s="96">
        <f>G245+H245+I245+J245+K245+L245</f>
        <v>6956.5592800000004</v>
      </c>
      <c r="G245" s="14">
        <v>0</v>
      </c>
      <c r="H245" s="14">
        <v>0</v>
      </c>
      <c r="I245" s="14">
        <v>6956.5592800000004</v>
      </c>
      <c r="J245" s="14"/>
      <c r="K245" s="14">
        <v>0</v>
      </c>
      <c r="L245" s="14">
        <v>0</v>
      </c>
      <c r="M245" s="32"/>
      <c r="N245" s="32"/>
      <c r="O245" s="32"/>
      <c r="P245" s="32"/>
      <c r="Q245" s="32"/>
      <c r="R245" s="32"/>
      <c r="S245" s="32"/>
      <c r="T245" s="32"/>
      <c r="U245" s="32"/>
      <c r="V245" s="32"/>
      <c r="W245" s="32"/>
      <c r="X245" s="32"/>
      <c r="Y245" s="32"/>
      <c r="Z245" s="32"/>
      <c r="AA245" s="32"/>
      <c r="AB245" s="32"/>
      <c r="AC245" s="32"/>
      <c r="AD245" s="32"/>
      <c r="AE245" s="32"/>
      <c r="AF245" s="32"/>
      <c r="AG245" s="32"/>
      <c r="AH245" s="32"/>
      <c r="AI245" s="32"/>
      <c r="AJ245" s="32"/>
      <c r="AK245" s="32"/>
      <c r="AL245" s="32"/>
      <c r="AM245" s="32"/>
      <c r="AN245" s="32"/>
      <c r="AO245" s="32"/>
      <c r="AP245" s="32"/>
      <c r="AQ245" s="32"/>
      <c r="AR245" s="33"/>
      <c r="AS245" s="34"/>
      <c r="AT245" s="34"/>
      <c r="AU245" s="34"/>
      <c r="AV245" s="34"/>
      <c r="AW245" s="34"/>
      <c r="AX245" s="34"/>
      <c r="AY245" s="34"/>
      <c r="AZ245" s="35"/>
      <c r="BA245" s="36"/>
    </row>
    <row r="246" spans="1:53" s="37" customFormat="1" ht="21.75" customHeight="1">
      <c r="A246" s="100"/>
      <c r="B246" s="103"/>
      <c r="C246" s="117"/>
      <c r="D246" s="108"/>
      <c r="E246" s="22" t="s">
        <v>56</v>
      </c>
      <c r="F246" s="96">
        <f>G246+H246+I246+J246+K246+L246</f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32"/>
      <c r="N246" s="32"/>
      <c r="O246" s="32"/>
      <c r="P246" s="32"/>
      <c r="Q246" s="32"/>
      <c r="R246" s="32"/>
      <c r="S246" s="32"/>
      <c r="T246" s="32"/>
      <c r="U246" s="32"/>
      <c r="V246" s="32"/>
      <c r="W246" s="32"/>
      <c r="X246" s="32"/>
      <c r="Y246" s="32"/>
      <c r="Z246" s="32"/>
      <c r="AA246" s="32"/>
      <c r="AB246" s="32"/>
      <c r="AC246" s="32"/>
      <c r="AD246" s="32"/>
      <c r="AE246" s="32"/>
      <c r="AF246" s="32"/>
      <c r="AG246" s="32"/>
      <c r="AH246" s="32"/>
      <c r="AI246" s="32"/>
      <c r="AJ246" s="32"/>
      <c r="AK246" s="32"/>
      <c r="AL246" s="32"/>
      <c r="AM246" s="32"/>
      <c r="AN246" s="32"/>
      <c r="AO246" s="32"/>
      <c r="AP246" s="32"/>
      <c r="AQ246" s="32"/>
      <c r="AR246" s="33"/>
      <c r="AS246" s="34"/>
      <c r="AT246" s="34"/>
      <c r="AU246" s="34"/>
      <c r="AV246" s="34"/>
      <c r="AW246" s="34"/>
      <c r="AX246" s="34"/>
      <c r="AY246" s="34"/>
      <c r="AZ246" s="35"/>
      <c r="BA246" s="36"/>
    </row>
    <row r="247" spans="1:53" s="37" customFormat="1" ht="21.75" customHeight="1">
      <c r="A247" s="100"/>
      <c r="B247" s="103"/>
      <c r="C247" s="117"/>
      <c r="D247" s="108"/>
      <c r="E247" s="22" t="s">
        <v>57</v>
      </c>
      <c r="F247" s="96">
        <f>G247+H247+I247+J247+K247+L247</f>
        <v>6.9635199999999999</v>
      </c>
      <c r="G247" s="14">
        <v>0</v>
      </c>
      <c r="H247" s="14">
        <v>0</v>
      </c>
      <c r="I247" s="14">
        <v>6.9635199999999999</v>
      </c>
      <c r="J247" s="14"/>
      <c r="K247" s="14">
        <v>0</v>
      </c>
      <c r="L247" s="14">
        <v>0</v>
      </c>
      <c r="M247" s="32"/>
      <c r="N247" s="32"/>
      <c r="O247" s="32"/>
      <c r="P247" s="32"/>
      <c r="Q247" s="32"/>
      <c r="R247" s="32"/>
      <c r="S247" s="32"/>
      <c r="T247" s="32"/>
      <c r="U247" s="32"/>
      <c r="V247" s="32"/>
      <c r="W247" s="32"/>
      <c r="X247" s="32"/>
      <c r="Y247" s="32"/>
      <c r="Z247" s="32"/>
      <c r="AA247" s="32"/>
      <c r="AB247" s="32"/>
      <c r="AC247" s="32"/>
      <c r="AD247" s="32"/>
      <c r="AE247" s="32"/>
      <c r="AF247" s="32"/>
      <c r="AG247" s="32"/>
      <c r="AH247" s="32"/>
      <c r="AI247" s="32"/>
      <c r="AJ247" s="32"/>
      <c r="AK247" s="32"/>
      <c r="AL247" s="32"/>
      <c r="AM247" s="32"/>
      <c r="AN247" s="32"/>
      <c r="AO247" s="32"/>
      <c r="AP247" s="32"/>
      <c r="AQ247" s="32"/>
      <c r="AR247" s="33"/>
      <c r="AS247" s="34"/>
      <c r="AT247" s="34"/>
      <c r="AU247" s="34"/>
      <c r="AV247" s="34"/>
      <c r="AW247" s="34"/>
      <c r="AX247" s="34"/>
      <c r="AY247" s="34"/>
      <c r="AZ247" s="35"/>
      <c r="BA247" s="36"/>
    </row>
    <row r="248" spans="1:53" s="37" customFormat="1" ht="19.5" customHeight="1">
      <c r="A248" s="100"/>
      <c r="B248" s="103"/>
      <c r="C248" s="117"/>
      <c r="D248" s="108"/>
      <c r="E248" s="110" t="s">
        <v>58</v>
      </c>
      <c r="F248" s="112">
        <f>G248+H248+I248+J248+K248</f>
        <v>0</v>
      </c>
      <c r="G248" s="97">
        <v>0</v>
      </c>
      <c r="H248" s="97">
        <v>0</v>
      </c>
      <c r="I248" s="97">
        <v>0</v>
      </c>
      <c r="J248" s="97">
        <v>0</v>
      </c>
      <c r="K248" s="97">
        <v>0</v>
      </c>
      <c r="L248" s="97">
        <v>0</v>
      </c>
      <c r="M248" s="32"/>
      <c r="N248" s="32"/>
      <c r="O248" s="32"/>
      <c r="P248" s="32"/>
      <c r="Q248" s="32"/>
      <c r="R248" s="32"/>
      <c r="S248" s="32"/>
      <c r="T248" s="32"/>
      <c r="U248" s="32"/>
      <c r="V248" s="32"/>
      <c r="W248" s="32"/>
      <c r="X248" s="32"/>
      <c r="Y248" s="32"/>
      <c r="Z248" s="32"/>
      <c r="AA248" s="32"/>
      <c r="AB248" s="32"/>
      <c r="AC248" s="32"/>
      <c r="AD248" s="32"/>
      <c r="AE248" s="32"/>
      <c r="AF248" s="32"/>
      <c r="AG248" s="32"/>
      <c r="AH248" s="32"/>
      <c r="AI248" s="32"/>
      <c r="AJ248" s="32"/>
      <c r="AK248" s="32"/>
      <c r="AL248" s="32"/>
      <c r="AM248" s="32"/>
      <c r="AN248" s="32"/>
      <c r="AO248" s="32"/>
      <c r="AP248" s="32"/>
      <c r="AQ248" s="32"/>
      <c r="AR248" s="33"/>
      <c r="AS248" s="34"/>
      <c r="AT248" s="34"/>
      <c r="AU248" s="34"/>
      <c r="AV248" s="34"/>
      <c r="AW248" s="34"/>
      <c r="AX248" s="34"/>
      <c r="AY248" s="34"/>
      <c r="AZ248" s="35"/>
      <c r="BA248" s="36"/>
    </row>
    <row r="249" spans="1:53" s="53" customFormat="1" ht="12.75" customHeight="1">
      <c r="A249" s="101"/>
      <c r="B249" s="104"/>
      <c r="C249" s="118"/>
      <c r="D249" s="109"/>
      <c r="E249" s="111"/>
      <c r="F249" s="113"/>
      <c r="G249" s="98"/>
      <c r="H249" s="98"/>
      <c r="I249" s="98"/>
      <c r="J249" s="98"/>
      <c r="K249" s="98"/>
      <c r="L249" s="9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49"/>
      <c r="AS249" s="50"/>
      <c r="AT249" s="50"/>
      <c r="AU249" s="50"/>
      <c r="AV249" s="50"/>
      <c r="AW249" s="50"/>
      <c r="AX249" s="50"/>
      <c r="AY249" s="50"/>
      <c r="AZ249" s="51"/>
      <c r="BA249" s="52"/>
    </row>
    <row r="250" spans="1:53" s="53" customFormat="1" ht="21.75" customHeight="1">
      <c r="A250" s="99" t="s">
        <v>172</v>
      </c>
      <c r="B250" s="102" t="s">
        <v>173</v>
      </c>
      <c r="C250" s="116">
        <v>2025</v>
      </c>
      <c r="D250" s="99" t="s">
        <v>132</v>
      </c>
      <c r="E250" s="22" t="s">
        <v>47</v>
      </c>
      <c r="F250" s="96">
        <f>G250+H250+I250+J250+K250+L250</f>
        <v>550</v>
      </c>
      <c r="G250" s="90">
        <f>G251+G253+G254+G255</f>
        <v>0</v>
      </c>
      <c r="H250" s="90">
        <f>H251+H253+H254+H255</f>
        <v>0</v>
      </c>
      <c r="I250" s="90">
        <f>I251+I253+I254+I255</f>
        <v>0</v>
      </c>
      <c r="J250" s="90">
        <f>J251+J252+J253+J254+J255</f>
        <v>550</v>
      </c>
      <c r="K250" s="90">
        <f>K251+K253+K254+K255</f>
        <v>0</v>
      </c>
      <c r="L250" s="90">
        <f>L251+L253+L254+L255</f>
        <v>0</v>
      </c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49"/>
      <c r="AS250" s="50"/>
      <c r="AT250" s="50"/>
      <c r="AU250" s="50"/>
      <c r="AV250" s="50"/>
      <c r="AW250" s="50"/>
      <c r="AX250" s="50"/>
      <c r="AY250" s="50"/>
      <c r="AZ250" s="51"/>
      <c r="BA250" s="52"/>
    </row>
    <row r="251" spans="1:53" s="53" customFormat="1" ht="21.75" customHeight="1">
      <c r="A251" s="100"/>
      <c r="B251" s="103"/>
      <c r="C251" s="117"/>
      <c r="D251" s="108"/>
      <c r="E251" s="22" t="s">
        <v>55</v>
      </c>
      <c r="F251" s="96">
        <f>G251+H251+I251+J251+K251+L251</f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49"/>
      <c r="AS251" s="50"/>
      <c r="AT251" s="50"/>
      <c r="AU251" s="50"/>
      <c r="AV251" s="50"/>
      <c r="AW251" s="50"/>
      <c r="AX251" s="50"/>
      <c r="AY251" s="50"/>
      <c r="AZ251" s="51"/>
      <c r="BA251" s="52"/>
    </row>
    <row r="252" spans="1:53" s="53" customFormat="1" ht="30.75" customHeight="1">
      <c r="A252" s="100"/>
      <c r="B252" s="103"/>
      <c r="C252" s="117"/>
      <c r="D252" s="108"/>
      <c r="E252" s="21" t="s">
        <v>166</v>
      </c>
      <c r="F252" s="96">
        <f>G252+H252+I252+J252+K252+L252</f>
        <v>0</v>
      </c>
      <c r="G252" s="14">
        <v>0</v>
      </c>
      <c r="H252" s="14">
        <v>0</v>
      </c>
      <c r="I252" s="14">
        <v>0</v>
      </c>
      <c r="J252" s="14"/>
      <c r="K252" s="14">
        <v>0</v>
      </c>
      <c r="L252" s="14">
        <v>0</v>
      </c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  <c r="AC252" s="28"/>
      <c r="AD252" s="28"/>
      <c r="AE252" s="28"/>
      <c r="AF252" s="28"/>
      <c r="AG252" s="28"/>
      <c r="AH252" s="28"/>
      <c r="AI252" s="28"/>
      <c r="AJ252" s="28"/>
      <c r="AK252" s="28"/>
      <c r="AL252" s="28"/>
      <c r="AM252" s="28"/>
      <c r="AN252" s="28"/>
      <c r="AO252" s="28"/>
      <c r="AP252" s="28"/>
      <c r="AQ252" s="28"/>
      <c r="AR252" s="49"/>
      <c r="AS252" s="50"/>
      <c r="AT252" s="50"/>
      <c r="AU252" s="50"/>
      <c r="AV252" s="50"/>
      <c r="AW252" s="50"/>
      <c r="AX252" s="50"/>
      <c r="AY252" s="50"/>
      <c r="AZ252" s="51"/>
      <c r="BA252" s="52"/>
    </row>
    <row r="253" spans="1:53" s="53" customFormat="1" ht="21.75" customHeight="1">
      <c r="A253" s="100"/>
      <c r="B253" s="103"/>
      <c r="C253" s="117"/>
      <c r="D253" s="108"/>
      <c r="E253" s="22" t="s">
        <v>56</v>
      </c>
      <c r="F253" s="96">
        <f>G253+H253+I253+J253+K253+L253</f>
        <v>0</v>
      </c>
      <c r="G253" s="14">
        <v>0</v>
      </c>
      <c r="H253" s="14">
        <v>0</v>
      </c>
      <c r="I253" s="23">
        <v>0</v>
      </c>
      <c r="J253" s="14">
        <v>0</v>
      </c>
      <c r="K253" s="14">
        <v>0</v>
      </c>
      <c r="L253" s="14">
        <v>0</v>
      </c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49"/>
      <c r="AS253" s="50"/>
      <c r="AT253" s="50"/>
      <c r="AU253" s="50"/>
      <c r="AV253" s="50"/>
      <c r="AW253" s="50"/>
      <c r="AX253" s="50"/>
      <c r="AY253" s="50"/>
      <c r="AZ253" s="51"/>
      <c r="BA253" s="52"/>
    </row>
    <row r="254" spans="1:53" s="53" customFormat="1" ht="21.75" customHeight="1">
      <c r="A254" s="100"/>
      <c r="B254" s="103"/>
      <c r="C254" s="117"/>
      <c r="D254" s="108"/>
      <c r="E254" s="22" t="s">
        <v>57</v>
      </c>
      <c r="F254" s="96">
        <f>G254+H254+I254+J254+K254+L254</f>
        <v>550</v>
      </c>
      <c r="G254" s="14">
        <v>0</v>
      </c>
      <c r="H254" s="14">
        <v>0</v>
      </c>
      <c r="I254" s="68"/>
      <c r="J254" s="15">
        <f>250+300</f>
        <v>550</v>
      </c>
      <c r="K254" s="14">
        <v>0</v>
      </c>
      <c r="L254" s="14">
        <v>0</v>
      </c>
      <c r="M254" s="28"/>
      <c r="N254" s="28" t="s">
        <v>197</v>
      </c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49"/>
      <c r="AS254" s="50"/>
      <c r="AT254" s="50"/>
      <c r="AU254" s="50"/>
      <c r="AV254" s="50"/>
      <c r="AW254" s="50"/>
      <c r="AX254" s="50"/>
      <c r="AY254" s="50"/>
      <c r="AZ254" s="51"/>
      <c r="BA254" s="52"/>
    </row>
    <row r="255" spans="1:53" s="53" customFormat="1" ht="21" customHeight="1">
      <c r="A255" s="100"/>
      <c r="B255" s="103"/>
      <c r="C255" s="117"/>
      <c r="D255" s="108"/>
      <c r="E255" s="110" t="s">
        <v>58</v>
      </c>
      <c r="F255" s="112">
        <f>G255+H255+I255+J255+K255</f>
        <v>0</v>
      </c>
      <c r="G255" s="97">
        <v>0</v>
      </c>
      <c r="H255" s="97">
        <v>0</v>
      </c>
      <c r="I255" s="97">
        <v>0</v>
      </c>
      <c r="J255" s="97">
        <v>0</v>
      </c>
      <c r="K255" s="97">
        <v>0</v>
      </c>
      <c r="L255" s="97">
        <v>0</v>
      </c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49"/>
      <c r="AS255" s="50"/>
      <c r="AT255" s="50"/>
      <c r="AU255" s="50"/>
      <c r="AV255" s="50"/>
      <c r="AW255" s="50"/>
      <c r="AX255" s="50"/>
      <c r="AY255" s="50"/>
      <c r="AZ255" s="51"/>
      <c r="BA255" s="52"/>
    </row>
    <row r="256" spans="1:53" s="53" customFormat="1" ht="21.75" hidden="1" customHeight="1">
      <c r="A256" s="101"/>
      <c r="B256" s="104"/>
      <c r="C256" s="118"/>
      <c r="D256" s="109"/>
      <c r="E256" s="111"/>
      <c r="F256" s="113"/>
      <c r="G256" s="98"/>
      <c r="H256" s="98"/>
      <c r="I256" s="98"/>
      <c r="J256" s="98"/>
      <c r="K256" s="98"/>
      <c r="L256" s="9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  <c r="AA256" s="28"/>
      <c r="AB256" s="28"/>
      <c r="AC256" s="28"/>
      <c r="AD256" s="28"/>
      <c r="AE256" s="28"/>
      <c r="AF256" s="28"/>
      <c r="AG256" s="28"/>
      <c r="AH256" s="28"/>
      <c r="AI256" s="28"/>
      <c r="AJ256" s="28"/>
      <c r="AK256" s="28"/>
      <c r="AL256" s="28"/>
      <c r="AM256" s="28"/>
      <c r="AN256" s="28"/>
      <c r="AO256" s="28"/>
      <c r="AP256" s="28"/>
      <c r="AQ256" s="28"/>
      <c r="AR256" s="49"/>
      <c r="AS256" s="50"/>
      <c r="AT256" s="50"/>
      <c r="AU256" s="50"/>
      <c r="AV256" s="50"/>
      <c r="AW256" s="50"/>
      <c r="AX256" s="50"/>
      <c r="AY256" s="50"/>
      <c r="AZ256" s="51"/>
      <c r="BA256" s="52"/>
    </row>
    <row r="257" spans="1:53" s="53" customFormat="1" ht="21.75" customHeight="1">
      <c r="A257" s="99" t="s">
        <v>175</v>
      </c>
      <c r="B257" s="102" t="s">
        <v>176</v>
      </c>
      <c r="C257" s="116">
        <v>2024</v>
      </c>
      <c r="D257" s="99" t="s">
        <v>148</v>
      </c>
      <c r="E257" s="22" t="s">
        <v>47</v>
      </c>
      <c r="F257" s="96">
        <f>G257+H257+I257+J257+K257+L257</f>
        <v>14565.164000000001</v>
      </c>
      <c r="G257" s="90">
        <f>G258+G260+G261+G262</f>
        <v>0</v>
      </c>
      <c r="H257" s="90">
        <f>H258+H260+H261+H262</f>
        <v>0</v>
      </c>
      <c r="I257" s="90">
        <f>I258+I260+I261+I262</f>
        <v>14565.164000000001</v>
      </c>
      <c r="J257" s="90">
        <f>J258+J259+J260+J261+J262</f>
        <v>0</v>
      </c>
      <c r="K257" s="90">
        <f>K258+K260+K261+K262</f>
        <v>0</v>
      </c>
      <c r="L257" s="90">
        <f>L258+L260+L261+L262</f>
        <v>0</v>
      </c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49"/>
      <c r="AS257" s="50"/>
      <c r="AT257" s="50"/>
      <c r="AU257" s="50"/>
      <c r="AV257" s="50"/>
      <c r="AW257" s="50"/>
      <c r="AX257" s="50"/>
      <c r="AY257" s="50"/>
      <c r="AZ257" s="51"/>
      <c r="BA257" s="52"/>
    </row>
    <row r="258" spans="1:53" s="53" customFormat="1" ht="21.75" customHeight="1">
      <c r="A258" s="100"/>
      <c r="B258" s="103"/>
      <c r="C258" s="117"/>
      <c r="D258" s="108"/>
      <c r="E258" s="22" t="s">
        <v>55</v>
      </c>
      <c r="F258" s="96">
        <f>G258+H258+I258+J258+K258+L258</f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49"/>
      <c r="AS258" s="50"/>
      <c r="AT258" s="50"/>
      <c r="AU258" s="50"/>
      <c r="AV258" s="50"/>
      <c r="AW258" s="50"/>
      <c r="AX258" s="50"/>
      <c r="AY258" s="50"/>
      <c r="AZ258" s="51"/>
      <c r="BA258" s="52"/>
    </row>
    <row r="259" spans="1:53" s="53" customFormat="1" ht="28.5" customHeight="1">
      <c r="A259" s="100"/>
      <c r="B259" s="103"/>
      <c r="C259" s="117"/>
      <c r="D259" s="108"/>
      <c r="E259" s="21" t="s">
        <v>166</v>
      </c>
      <c r="F259" s="96">
        <f>G259+H259+I259+J259+K259+L259</f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49"/>
      <c r="AS259" s="50"/>
      <c r="AT259" s="50"/>
      <c r="AU259" s="50"/>
      <c r="AV259" s="50"/>
      <c r="AW259" s="50"/>
      <c r="AX259" s="50"/>
      <c r="AY259" s="50"/>
      <c r="AZ259" s="51"/>
      <c r="BA259" s="52"/>
    </row>
    <row r="260" spans="1:53" s="53" customFormat="1" ht="21.75" customHeight="1">
      <c r="A260" s="100"/>
      <c r="B260" s="103"/>
      <c r="C260" s="117"/>
      <c r="D260" s="108"/>
      <c r="E260" s="22" t="s">
        <v>56</v>
      </c>
      <c r="F260" s="96">
        <f>G260+H260+I260+J260+K260+L260</f>
        <v>13836.9058</v>
      </c>
      <c r="G260" s="14">
        <v>0</v>
      </c>
      <c r="H260" s="14">
        <v>0</v>
      </c>
      <c r="I260" s="14">
        <v>13836.9058</v>
      </c>
      <c r="J260" s="14"/>
      <c r="K260" s="14">
        <v>0</v>
      </c>
      <c r="L260" s="14">
        <v>0</v>
      </c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  <c r="AA260" s="28"/>
      <c r="AB260" s="28"/>
      <c r="AC260" s="28"/>
      <c r="AD260" s="28"/>
      <c r="AE260" s="28"/>
      <c r="AF260" s="28"/>
      <c r="AG260" s="28"/>
      <c r="AH260" s="28"/>
      <c r="AI260" s="28"/>
      <c r="AJ260" s="28"/>
      <c r="AK260" s="28"/>
      <c r="AL260" s="28"/>
      <c r="AM260" s="28"/>
      <c r="AN260" s="28"/>
      <c r="AO260" s="28"/>
      <c r="AP260" s="28"/>
      <c r="AQ260" s="28"/>
      <c r="AR260" s="49"/>
      <c r="AS260" s="50"/>
      <c r="AT260" s="50"/>
      <c r="AU260" s="50"/>
      <c r="AV260" s="50"/>
      <c r="AW260" s="50"/>
      <c r="AX260" s="50"/>
      <c r="AY260" s="50"/>
      <c r="AZ260" s="51"/>
      <c r="BA260" s="52"/>
    </row>
    <row r="261" spans="1:53" s="53" customFormat="1" ht="21.75" customHeight="1">
      <c r="A261" s="100"/>
      <c r="B261" s="103"/>
      <c r="C261" s="117"/>
      <c r="D261" s="108"/>
      <c r="E261" s="22" t="s">
        <v>57</v>
      </c>
      <c r="F261" s="96">
        <f>G261+H261+I261+J261+K261+L261</f>
        <v>728.25819999999999</v>
      </c>
      <c r="G261" s="14">
        <v>0</v>
      </c>
      <c r="H261" s="14">
        <v>0</v>
      </c>
      <c r="I261" s="14">
        <v>728.25819999999999</v>
      </c>
      <c r="J261" s="14"/>
      <c r="K261" s="14">
        <v>0</v>
      </c>
      <c r="L261" s="14">
        <v>0</v>
      </c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49"/>
      <c r="AS261" s="50"/>
      <c r="AT261" s="50"/>
      <c r="AU261" s="50"/>
      <c r="AV261" s="50"/>
      <c r="AW261" s="50"/>
      <c r="AX261" s="50"/>
      <c r="AY261" s="50"/>
      <c r="AZ261" s="51"/>
      <c r="BA261" s="52"/>
    </row>
    <row r="262" spans="1:53" s="53" customFormat="1" ht="21.75" customHeight="1">
      <c r="A262" s="100"/>
      <c r="B262" s="103"/>
      <c r="C262" s="117"/>
      <c r="D262" s="108"/>
      <c r="E262" s="110" t="s">
        <v>58</v>
      </c>
      <c r="F262" s="112">
        <f>G262+H262+I262+J262+K262</f>
        <v>0</v>
      </c>
      <c r="G262" s="97">
        <v>0</v>
      </c>
      <c r="H262" s="97">
        <v>0</v>
      </c>
      <c r="I262" s="97">
        <v>0</v>
      </c>
      <c r="J262" s="97">
        <v>0</v>
      </c>
      <c r="K262" s="97">
        <v>0</v>
      </c>
      <c r="L262" s="97">
        <v>0</v>
      </c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49"/>
      <c r="AS262" s="50"/>
      <c r="AT262" s="50"/>
      <c r="AU262" s="50"/>
      <c r="AV262" s="50"/>
      <c r="AW262" s="50"/>
      <c r="AX262" s="50"/>
      <c r="AY262" s="50"/>
      <c r="AZ262" s="51"/>
      <c r="BA262" s="52"/>
    </row>
    <row r="263" spans="1:53" s="53" customFormat="1" ht="21.75" customHeight="1">
      <c r="A263" s="101"/>
      <c r="B263" s="104"/>
      <c r="C263" s="118"/>
      <c r="D263" s="109"/>
      <c r="E263" s="111"/>
      <c r="F263" s="113"/>
      <c r="G263" s="98"/>
      <c r="H263" s="98"/>
      <c r="I263" s="98"/>
      <c r="J263" s="98"/>
      <c r="K263" s="98"/>
      <c r="L263" s="9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49"/>
      <c r="AS263" s="50"/>
      <c r="AT263" s="50"/>
      <c r="AU263" s="50"/>
      <c r="AV263" s="50"/>
      <c r="AW263" s="50"/>
      <c r="AX263" s="50"/>
      <c r="AY263" s="50"/>
      <c r="AZ263" s="51"/>
      <c r="BA263" s="52"/>
    </row>
    <row r="264" spans="1:53" s="53" customFormat="1" ht="21.75" customHeight="1">
      <c r="A264" s="99" t="s">
        <v>192</v>
      </c>
      <c r="B264" s="102" t="s">
        <v>194</v>
      </c>
      <c r="C264" s="105" t="s">
        <v>195</v>
      </c>
      <c r="D264" s="99" t="s">
        <v>148</v>
      </c>
      <c r="E264" s="22" t="s">
        <v>47</v>
      </c>
      <c r="F264" s="96">
        <f>G264+H264+I264+J264+K264+L264</f>
        <v>21514.54926</v>
      </c>
      <c r="G264" s="90">
        <f>G265+G267+G268+G269</f>
        <v>0</v>
      </c>
      <c r="H264" s="90">
        <f>H265+H267+H268+H269</f>
        <v>0</v>
      </c>
      <c r="I264" s="90">
        <f>I265+I267+I268+I269</f>
        <v>0</v>
      </c>
      <c r="J264" s="90">
        <f>J265+J266+J267+J268+J269</f>
        <v>10865.602439999999</v>
      </c>
      <c r="K264" s="90">
        <f>K265+K267+K268+K269</f>
        <v>10648.946820000001</v>
      </c>
      <c r="L264" s="90">
        <f>L265+L267+L268+L269</f>
        <v>0</v>
      </c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  <c r="AA264" s="28"/>
      <c r="AB264" s="28"/>
      <c r="AC264" s="28"/>
      <c r="AD264" s="28"/>
      <c r="AE264" s="28"/>
      <c r="AF264" s="28"/>
      <c r="AG264" s="28"/>
      <c r="AH264" s="28"/>
      <c r="AI264" s="28"/>
      <c r="AJ264" s="28"/>
      <c r="AK264" s="28"/>
      <c r="AL264" s="28"/>
      <c r="AM264" s="28"/>
      <c r="AN264" s="28"/>
      <c r="AO264" s="28"/>
      <c r="AP264" s="28"/>
      <c r="AQ264" s="28"/>
      <c r="AR264" s="49"/>
      <c r="AS264" s="50"/>
      <c r="AT264" s="50"/>
      <c r="AU264" s="50"/>
      <c r="AV264" s="50"/>
      <c r="AW264" s="50"/>
      <c r="AX264" s="50"/>
      <c r="AY264" s="50"/>
      <c r="AZ264" s="51"/>
      <c r="BA264" s="52"/>
    </row>
    <row r="265" spans="1:53" s="53" customFormat="1" ht="21.75" customHeight="1">
      <c r="A265" s="100"/>
      <c r="B265" s="103"/>
      <c r="C265" s="106"/>
      <c r="D265" s="108"/>
      <c r="E265" s="22" t="s">
        <v>55</v>
      </c>
      <c r="F265" s="96">
        <f>G265+H265+I265+J265+K265+L265</f>
        <v>20312</v>
      </c>
      <c r="G265" s="14">
        <v>0</v>
      </c>
      <c r="H265" s="14">
        <v>0</v>
      </c>
      <c r="I265" s="14"/>
      <c r="J265" s="14">
        <v>10312</v>
      </c>
      <c r="K265" s="14">
        <v>10000</v>
      </c>
      <c r="L265" s="14">
        <v>0</v>
      </c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49"/>
      <c r="AS265" s="50"/>
      <c r="AT265" s="50"/>
      <c r="AU265" s="50"/>
      <c r="AV265" s="50"/>
      <c r="AW265" s="50"/>
      <c r="AX265" s="50"/>
      <c r="AY265" s="50"/>
      <c r="AZ265" s="51"/>
      <c r="BA265" s="52"/>
    </row>
    <row r="266" spans="1:53" s="53" customFormat="1" ht="21.75" customHeight="1">
      <c r="A266" s="100"/>
      <c r="B266" s="103"/>
      <c r="C266" s="106"/>
      <c r="D266" s="108"/>
      <c r="E266" s="21" t="s">
        <v>166</v>
      </c>
      <c r="F266" s="96">
        <f>G266+H266+I266+J266+K266+L266</f>
        <v>0</v>
      </c>
      <c r="G266" s="14">
        <v>0</v>
      </c>
      <c r="H266" s="14">
        <v>0</v>
      </c>
      <c r="I266" s="14"/>
      <c r="J266" s="14">
        <v>0</v>
      </c>
      <c r="K266" s="14">
        <v>0</v>
      </c>
      <c r="L266" s="14">
        <v>0</v>
      </c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49"/>
      <c r="AS266" s="50"/>
      <c r="AT266" s="50"/>
      <c r="AU266" s="50"/>
      <c r="AV266" s="50"/>
      <c r="AW266" s="50"/>
      <c r="AX266" s="50"/>
      <c r="AY266" s="50"/>
      <c r="AZ266" s="51"/>
      <c r="BA266" s="52"/>
    </row>
    <row r="267" spans="1:53" s="53" customFormat="1" ht="21.75" customHeight="1">
      <c r="A267" s="100"/>
      <c r="B267" s="103"/>
      <c r="C267" s="106"/>
      <c r="D267" s="108"/>
      <c r="E267" s="22" t="s">
        <v>56</v>
      </c>
      <c r="F267" s="96">
        <f>G267+H267+I267+J267+K267+L267</f>
        <v>1181.0347099999999</v>
      </c>
      <c r="G267" s="14">
        <v>0</v>
      </c>
      <c r="H267" s="14">
        <v>0</v>
      </c>
      <c r="I267" s="14"/>
      <c r="J267" s="14">
        <v>542.73684000000003</v>
      </c>
      <c r="K267" s="14">
        <v>638.29786999999999</v>
      </c>
      <c r="L267" s="14">
        <v>0</v>
      </c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49"/>
      <c r="AS267" s="50"/>
      <c r="AT267" s="50"/>
      <c r="AU267" s="50"/>
      <c r="AV267" s="50"/>
      <c r="AW267" s="50"/>
      <c r="AX267" s="50"/>
      <c r="AY267" s="50"/>
      <c r="AZ267" s="51"/>
      <c r="BA267" s="52"/>
    </row>
    <row r="268" spans="1:53" s="53" customFormat="1" ht="21.75" customHeight="1">
      <c r="A268" s="100"/>
      <c r="B268" s="103"/>
      <c r="C268" s="106"/>
      <c r="D268" s="108"/>
      <c r="E268" s="22" t="s">
        <v>57</v>
      </c>
      <c r="F268" s="96">
        <f>G268+H268+I268+J268+K268+L268</f>
        <v>21.51455</v>
      </c>
      <c r="G268" s="14">
        <v>0</v>
      </c>
      <c r="H268" s="14">
        <v>0</v>
      </c>
      <c r="I268" s="14"/>
      <c r="J268" s="14">
        <v>10.865600000000001</v>
      </c>
      <c r="K268" s="14">
        <v>10.648949999999999</v>
      </c>
      <c r="L268" s="14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  <c r="AA268" s="28"/>
      <c r="AB268" s="28"/>
      <c r="AC268" s="28"/>
      <c r="AD268" s="28"/>
      <c r="AE268" s="28"/>
      <c r="AF268" s="28"/>
      <c r="AG268" s="28"/>
      <c r="AH268" s="28"/>
      <c r="AI268" s="28"/>
      <c r="AJ268" s="28"/>
      <c r="AK268" s="28"/>
      <c r="AL268" s="28"/>
      <c r="AM268" s="28"/>
      <c r="AN268" s="28"/>
      <c r="AO268" s="28"/>
      <c r="AP268" s="28"/>
      <c r="AQ268" s="28"/>
      <c r="AR268" s="49"/>
      <c r="AS268" s="50"/>
      <c r="AT268" s="50"/>
      <c r="AU268" s="50"/>
      <c r="AV268" s="50"/>
      <c r="AW268" s="50"/>
      <c r="AX268" s="50"/>
      <c r="AY268" s="50"/>
      <c r="AZ268" s="51"/>
      <c r="BA268" s="52"/>
    </row>
    <row r="269" spans="1:53" s="53" customFormat="1" ht="21.75" customHeight="1">
      <c r="A269" s="100"/>
      <c r="B269" s="103"/>
      <c r="C269" s="106"/>
      <c r="D269" s="108"/>
      <c r="E269" s="110" t="s">
        <v>58</v>
      </c>
      <c r="F269" s="112">
        <f>G269+H269+I269+J269+K269</f>
        <v>0</v>
      </c>
      <c r="G269" s="97">
        <v>0</v>
      </c>
      <c r="H269" s="97">
        <v>0</v>
      </c>
      <c r="I269" s="97">
        <v>0</v>
      </c>
      <c r="J269" s="97">
        <v>0</v>
      </c>
      <c r="K269" s="97">
        <v>0</v>
      </c>
      <c r="L269" s="97">
        <v>0</v>
      </c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49"/>
      <c r="AS269" s="50"/>
      <c r="AT269" s="50"/>
      <c r="AU269" s="50"/>
      <c r="AV269" s="50"/>
      <c r="AW269" s="50"/>
      <c r="AX269" s="50"/>
      <c r="AY269" s="50"/>
      <c r="AZ269" s="51"/>
      <c r="BA269" s="52"/>
    </row>
    <row r="270" spans="1:53" s="53" customFormat="1" ht="21.75" customHeight="1">
      <c r="A270" s="101"/>
      <c r="B270" s="104"/>
      <c r="C270" s="107"/>
      <c r="D270" s="109"/>
      <c r="E270" s="111"/>
      <c r="F270" s="113"/>
      <c r="G270" s="98"/>
      <c r="H270" s="98"/>
      <c r="I270" s="98"/>
      <c r="J270" s="98"/>
      <c r="K270" s="98"/>
      <c r="L270" s="9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49"/>
      <c r="AS270" s="50"/>
      <c r="AT270" s="50"/>
      <c r="AU270" s="50"/>
      <c r="AV270" s="50"/>
      <c r="AW270" s="50"/>
      <c r="AX270" s="50"/>
      <c r="AY270" s="50"/>
      <c r="AZ270" s="51"/>
      <c r="BA270" s="52"/>
    </row>
    <row r="271" spans="1:53" s="53" customFormat="1" ht="21.75" customHeight="1">
      <c r="A271" s="99" t="s">
        <v>193</v>
      </c>
      <c r="B271" s="102" t="s">
        <v>196</v>
      </c>
      <c r="C271" s="105">
        <v>2025</v>
      </c>
      <c r="D271" s="99" t="s">
        <v>148</v>
      </c>
      <c r="E271" s="22" t="s">
        <v>47</v>
      </c>
      <c r="F271" s="96">
        <f>G271+H271+I271+J271+K271+L271</f>
        <v>13107.950059999999</v>
      </c>
      <c r="G271" s="90">
        <f>G272+G274+G275+G276</f>
        <v>0</v>
      </c>
      <c r="H271" s="90">
        <f>H272+H274+H275+H276</f>
        <v>0</v>
      </c>
      <c r="I271" s="90">
        <f>I272+I274+I275+I276</f>
        <v>0</v>
      </c>
      <c r="J271" s="90">
        <f>J272+J273+J274+J275+J276</f>
        <v>13107.950059999999</v>
      </c>
      <c r="K271" s="90">
        <f>K272+K274+K275+K276</f>
        <v>0</v>
      </c>
      <c r="L271" s="90">
        <f>L272+L274+L275+L276</f>
        <v>0</v>
      </c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49"/>
      <c r="AS271" s="50"/>
      <c r="AT271" s="50"/>
      <c r="AU271" s="50"/>
      <c r="AV271" s="50"/>
      <c r="AW271" s="50"/>
      <c r="AX271" s="50"/>
      <c r="AY271" s="50"/>
      <c r="AZ271" s="51"/>
      <c r="BA271" s="52"/>
    </row>
    <row r="272" spans="1:53" s="53" customFormat="1" ht="21.75" customHeight="1">
      <c r="A272" s="100"/>
      <c r="B272" s="103"/>
      <c r="C272" s="106"/>
      <c r="D272" s="108"/>
      <c r="E272" s="22" t="s">
        <v>55</v>
      </c>
      <c r="F272" s="96">
        <f>G272+H272+I272+J272+K272+L272</f>
        <v>12440.1</v>
      </c>
      <c r="G272" s="14">
        <v>0</v>
      </c>
      <c r="H272" s="14">
        <v>0</v>
      </c>
      <c r="I272" s="14">
        <v>0</v>
      </c>
      <c r="J272" s="14">
        <v>12440.1</v>
      </c>
      <c r="K272" s="14">
        <v>0</v>
      </c>
      <c r="L272" s="14">
        <v>0</v>
      </c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  <c r="AA272" s="28"/>
      <c r="AB272" s="28"/>
      <c r="AC272" s="28"/>
      <c r="AD272" s="28"/>
      <c r="AE272" s="28"/>
      <c r="AF272" s="28"/>
      <c r="AG272" s="28"/>
      <c r="AH272" s="28"/>
      <c r="AI272" s="28"/>
      <c r="AJ272" s="28"/>
      <c r="AK272" s="28"/>
      <c r="AL272" s="28"/>
      <c r="AM272" s="28"/>
      <c r="AN272" s="28"/>
      <c r="AO272" s="28"/>
      <c r="AP272" s="28"/>
      <c r="AQ272" s="28"/>
      <c r="AR272" s="49"/>
      <c r="AS272" s="50"/>
      <c r="AT272" s="50"/>
      <c r="AU272" s="50"/>
      <c r="AV272" s="50"/>
      <c r="AW272" s="50"/>
      <c r="AX272" s="50"/>
      <c r="AY272" s="50"/>
      <c r="AZ272" s="51"/>
      <c r="BA272" s="52"/>
    </row>
    <row r="273" spans="1:53" s="53" customFormat="1" ht="21.75" customHeight="1">
      <c r="A273" s="100"/>
      <c r="B273" s="103"/>
      <c r="C273" s="106"/>
      <c r="D273" s="108"/>
      <c r="E273" s="21" t="s">
        <v>166</v>
      </c>
      <c r="F273" s="96">
        <f>G273+H273+I273+J273+K273+L273</f>
        <v>0</v>
      </c>
      <c r="G273" s="14">
        <v>0</v>
      </c>
      <c r="H273" s="14">
        <v>0</v>
      </c>
      <c r="I273" s="14">
        <v>0</v>
      </c>
      <c r="J273" s="14">
        <v>0</v>
      </c>
      <c r="K273" s="14">
        <v>0</v>
      </c>
      <c r="L273" s="14">
        <v>0</v>
      </c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49"/>
      <c r="AS273" s="50"/>
      <c r="AT273" s="50"/>
      <c r="AU273" s="50"/>
      <c r="AV273" s="50"/>
      <c r="AW273" s="50"/>
      <c r="AX273" s="50"/>
      <c r="AY273" s="50"/>
      <c r="AZ273" s="51"/>
      <c r="BA273" s="52"/>
    </row>
    <row r="274" spans="1:53" s="53" customFormat="1" ht="21.75" customHeight="1">
      <c r="A274" s="100"/>
      <c r="B274" s="103"/>
      <c r="C274" s="106"/>
      <c r="D274" s="108"/>
      <c r="E274" s="22" t="s">
        <v>56</v>
      </c>
      <c r="F274" s="96">
        <f>G274+H274+I274+J274+K274+L274</f>
        <v>654.74211000000003</v>
      </c>
      <c r="G274" s="14">
        <v>0</v>
      </c>
      <c r="H274" s="14">
        <v>0</v>
      </c>
      <c r="I274" s="14"/>
      <c r="J274" s="14">
        <v>654.74211000000003</v>
      </c>
      <c r="K274" s="14">
        <v>0</v>
      </c>
      <c r="L274" s="14">
        <v>0</v>
      </c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49"/>
      <c r="AS274" s="50"/>
      <c r="AT274" s="50"/>
      <c r="AU274" s="50"/>
      <c r="AV274" s="50"/>
      <c r="AW274" s="50"/>
      <c r="AX274" s="50"/>
      <c r="AY274" s="50"/>
      <c r="AZ274" s="51"/>
      <c r="BA274" s="52"/>
    </row>
    <row r="275" spans="1:53" s="53" customFormat="1" ht="21.75" customHeight="1">
      <c r="A275" s="100"/>
      <c r="B275" s="103"/>
      <c r="C275" s="106"/>
      <c r="D275" s="108"/>
      <c r="E275" s="22" t="s">
        <v>57</v>
      </c>
      <c r="F275" s="96">
        <f>G275+H275+I275+J275+K275+L275</f>
        <v>13.107950000000001</v>
      </c>
      <c r="G275" s="14">
        <v>0</v>
      </c>
      <c r="H275" s="14">
        <v>0</v>
      </c>
      <c r="I275" s="14"/>
      <c r="J275" s="14">
        <v>13.107950000000001</v>
      </c>
      <c r="K275" s="14">
        <v>0</v>
      </c>
      <c r="L275" s="14">
        <v>0</v>
      </c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49"/>
      <c r="AS275" s="50"/>
      <c r="AT275" s="50"/>
      <c r="AU275" s="50"/>
      <c r="AV275" s="50"/>
      <c r="AW275" s="50"/>
      <c r="AX275" s="50"/>
      <c r="AY275" s="50"/>
      <c r="AZ275" s="51"/>
      <c r="BA275" s="52"/>
    </row>
    <row r="276" spans="1:53" s="53" customFormat="1" ht="21.75" customHeight="1">
      <c r="A276" s="100"/>
      <c r="B276" s="103"/>
      <c r="C276" s="106"/>
      <c r="D276" s="108"/>
      <c r="E276" s="110" t="s">
        <v>58</v>
      </c>
      <c r="F276" s="112">
        <f>G276+H276+I276+J276+K276</f>
        <v>0</v>
      </c>
      <c r="G276" s="97">
        <v>0</v>
      </c>
      <c r="H276" s="97">
        <v>0</v>
      </c>
      <c r="I276" s="97">
        <v>0</v>
      </c>
      <c r="J276" s="97">
        <v>0</v>
      </c>
      <c r="K276" s="97">
        <v>0</v>
      </c>
      <c r="L276" s="97">
        <v>0</v>
      </c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  <c r="AA276" s="28"/>
      <c r="AB276" s="28"/>
      <c r="AC276" s="28"/>
      <c r="AD276" s="28"/>
      <c r="AE276" s="28"/>
      <c r="AF276" s="28"/>
      <c r="AG276" s="28"/>
      <c r="AH276" s="28"/>
      <c r="AI276" s="28"/>
      <c r="AJ276" s="28"/>
      <c r="AK276" s="28"/>
      <c r="AL276" s="28"/>
      <c r="AM276" s="28"/>
      <c r="AN276" s="28"/>
      <c r="AO276" s="28"/>
      <c r="AP276" s="28"/>
      <c r="AQ276" s="28"/>
      <c r="AR276" s="49"/>
      <c r="AS276" s="50"/>
      <c r="AT276" s="50"/>
      <c r="AU276" s="50"/>
      <c r="AV276" s="50"/>
      <c r="AW276" s="50"/>
      <c r="AX276" s="50"/>
      <c r="AY276" s="50"/>
      <c r="AZ276" s="51"/>
      <c r="BA276" s="52"/>
    </row>
    <row r="277" spans="1:53" s="53" customFormat="1" ht="21.75" customHeight="1">
      <c r="A277" s="101"/>
      <c r="B277" s="104"/>
      <c r="C277" s="107"/>
      <c r="D277" s="109"/>
      <c r="E277" s="111"/>
      <c r="F277" s="113"/>
      <c r="G277" s="98"/>
      <c r="H277" s="98"/>
      <c r="I277" s="98"/>
      <c r="J277" s="98"/>
      <c r="K277" s="98"/>
      <c r="L277" s="9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49"/>
      <c r="AS277" s="50"/>
      <c r="AT277" s="50"/>
      <c r="AU277" s="50"/>
      <c r="AV277" s="50"/>
      <c r="AW277" s="50"/>
      <c r="AX277" s="50"/>
      <c r="AY277" s="50"/>
      <c r="AZ277" s="51"/>
      <c r="BA277" s="52"/>
    </row>
    <row r="278" spans="1:53" s="37" customFormat="1" ht="21.75" customHeight="1">
      <c r="A278" s="119"/>
      <c r="B278" s="145" t="s">
        <v>72</v>
      </c>
      <c r="C278" s="116" t="s">
        <v>179</v>
      </c>
      <c r="D278" s="141"/>
      <c r="E278" s="21" t="s">
        <v>47</v>
      </c>
      <c r="F278" s="94">
        <f t="shared" ref="F278:J279" si="83">F15+F69+F81+F123+F195</f>
        <v>1381492.17481</v>
      </c>
      <c r="G278" s="94">
        <f t="shared" si="83"/>
        <v>233788.01252999998</v>
      </c>
      <c r="H278" s="94">
        <f t="shared" si="83"/>
        <v>207030.61450999998</v>
      </c>
      <c r="I278" s="94">
        <f t="shared" si="83"/>
        <v>231140.07758000001</v>
      </c>
      <c r="J278" s="94">
        <f t="shared" si="83"/>
        <v>247025.99819000001</v>
      </c>
      <c r="K278" s="95">
        <f>K15+K69+K81+K123+K195+K111+K183</f>
        <v>231341.28719999996</v>
      </c>
      <c r="L278" s="95">
        <f>L15+L69+L81+L123+L195</f>
        <v>231166.18479999999</v>
      </c>
      <c r="M278" s="28">
        <v>2025</v>
      </c>
      <c r="N278" s="88"/>
      <c r="O278" s="88">
        <f>J278-J195+160.856</f>
        <v>222279.78869000002</v>
      </c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54"/>
      <c r="AN278" s="54"/>
      <c r="AO278" s="54"/>
      <c r="AP278" s="54"/>
      <c r="AQ278" s="54"/>
      <c r="AR278" s="34"/>
      <c r="AS278" s="34"/>
      <c r="AT278" s="34"/>
      <c r="AU278" s="34"/>
      <c r="AV278" s="34"/>
      <c r="AW278" s="34"/>
      <c r="AX278" s="34"/>
      <c r="AY278" s="34"/>
      <c r="AZ278" s="34"/>
    </row>
    <row r="279" spans="1:53" s="37" customFormat="1" ht="21.75" customHeight="1">
      <c r="A279" s="120"/>
      <c r="B279" s="146"/>
      <c r="C279" s="117"/>
      <c r="D279" s="141"/>
      <c r="E279" s="21" t="s">
        <v>55</v>
      </c>
      <c r="F279" s="94">
        <f t="shared" si="83"/>
        <v>41421.164919999996</v>
      </c>
      <c r="G279" s="94">
        <f t="shared" si="83"/>
        <v>356.34931</v>
      </c>
      <c r="H279" s="94">
        <f t="shared" si="83"/>
        <v>6245.4033200000003</v>
      </c>
      <c r="I279" s="94">
        <f t="shared" si="83"/>
        <v>1150.05024</v>
      </c>
      <c r="J279" s="94">
        <f t="shared" si="83"/>
        <v>23058.172439999998</v>
      </c>
      <c r="K279" s="95">
        <f>K16+K70+K82+K124+K196</f>
        <v>10300.0211</v>
      </c>
      <c r="L279" s="95">
        <f>L16+L70+L82+L124+L196</f>
        <v>311.16851000000003</v>
      </c>
      <c r="M279" s="28">
        <v>2026</v>
      </c>
      <c r="N279" s="88">
        <f>K278-K195</f>
        <v>220692.34037999995</v>
      </c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54"/>
      <c r="AN279" s="54"/>
      <c r="AO279" s="54"/>
      <c r="AP279" s="54"/>
      <c r="AQ279" s="54"/>
      <c r="AR279" s="34"/>
      <c r="AS279" s="34"/>
      <c r="AT279" s="34"/>
      <c r="AU279" s="34"/>
      <c r="AV279" s="34"/>
      <c r="AW279" s="34"/>
      <c r="AX279" s="34"/>
      <c r="AY279" s="34"/>
      <c r="AZ279" s="34"/>
    </row>
    <row r="280" spans="1:53" s="37" customFormat="1" ht="27" customHeight="1">
      <c r="A280" s="120"/>
      <c r="B280" s="146"/>
      <c r="C280" s="117"/>
      <c r="D280" s="141"/>
      <c r="E280" s="21" t="s">
        <v>166</v>
      </c>
      <c r="F280" s="94">
        <f t="shared" ref="F280:H283" si="84">F17+F71+F83+F125+F197</f>
        <v>6956.5592800000004</v>
      </c>
      <c r="G280" s="95">
        <f t="shared" si="84"/>
        <v>0</v>
      </c>
      <c r="H280" s="95">
        <f t="shared" si="84"/>
        <v>0</v>
      </c>
      <c r="I280" s="95">
        <f>I17+I77+I83+I125+I197</f>
        <v>6956.5592800000004</v>
      </c>
      <c r="J280" s="94">
        <f>J17+J71+J83+J125+J197</f>
        <v>0</v>
      </c>
      <c r="K280" s="95">
        <f>K17+K71+K83+K125+K197</f>
        <v>0</v>
      </c>
      <c r="L280" s="95">
        <f>L17+L71+L83+L125+L197</f>
        <v>0</v>
      </c>
      <c r="M280" s="28">
        <v>2027</v>
      </c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  <c r="AA280" s="28"/>
      <c r="AB280" s="28"/>
      <c r="AC280" s="28"/>
      <c r="AD280" s="28"/>
      <c r="AE280" s="28"/>
      <c r="AF280" s="28"/>
      <c r="AG280" s="28"/>
      <c r="AH280" s="28"/>
      <c r="AI280" s="28"/>
      <c r="AJ280" s="28"/>
      <c r="AK280" s="28"/>
      <c r="AL280" s="28"/>
      <c r="AM280" s="54"/>
      <c r="AN280" s="54"/>
      <c r="AO280" s="54"/>
      <c r="AP280" s="54"/>
      <c r="AQ280" s="54"/>
      <c r="AR280" s="34"/>
      <c r="AS280" s="34"/>
      <c r="AT280" s="34"/>
      <c r="AU280" s="34"/>
      <c r="AV280" s="34"/>
      <c r="AW280" s="34"/>
      <c r="AX280" s="34"/>
      <c r="AY280" s="34"/>
      <c r="AZ280" s="34"/>
    </row>
    <row r="281" spans="1:53" s="37" customFormat="1" ht="21.75" customHeight="1">
      <c r="A281" s="120"/>
      <c r="B281" s="146"/>
      <c r="C281" s="117"/>
      <c r="D281" s="141"/>
      <c r="E281" s="21" t="s">
        <v>56</v>
      </c>
      <c r="F281" s="94">
        <f t="shared" si="84"/>
        <v>30563.257270000002</v>
      </c>
      <c r="G281" s="94">
        <f t="shared" si="84"/>
        <v>13484.10122</v>
      </c>
      <c r="H281" s="94">
        <f t="shared" si="84"/>
        <v>856.86382000000003</v>
      </c>
      <c r="I281" s="94">
        <f>I18+I78+I84+I126+I198</f>
        <v>14003.834760000002</v>
      </c>
      <c r="J281" s="94">
        <f>J18+J72+J84+J126+J198</f>
        <v>1321.5880300000001</v>
      </c>
      <c r="K281" s="95">
        <f>K18+K72+K84+K126+K198</f>
        <v>765.44814999999994</v>
      </c>
      <c r="L281" s="95">
        <f>L18+L72+L84+L126+L198</f>
        <v>131.42129</v>
      </c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54"/>
      <c r="AN281" s="54"/>
      <c r="AO281" s="54"/>
      <c r="AP281" s="54"/>
      <c r="AQ281" s="54"/>
      <c r="AR281" s="34"/>
      <c r="AS281" s="34"/>
      <c r="AT281" s="34"/>
      <c r="AU281" s="34"/>
      <c r="AV281" s="34"/>
      <c r="AW281" s="34"/>
      <c r="AX281" s="34"/>
      <c r="AY281" s="34"/>
      <c r="AZ281" s="34"/>
    </row>
    <row r="282" spans="1:53" s="37" customFormat="1" ht="21.75" customHeight="1">
      <c r="A282" s="120"/>
      <c r="B282" s="146"/>
      <c r="C282" s="117"/>
      <c r="D282" s="141"/>
      <c r="E282" s="21" t="s">
        <v>57</v>
      </c>
      <c r="F282" s="94">
        <f t="shared" si="84"/>
        <v>1302551.19334</v>
      </c>
      <c r="G282" s="94">
        <f t="shared" si="84"/>
        <v>219947.56200000001</v>
      </c>
      <c r="H282" s="94">
        <f t="shared" si="84"/>
        <v>199928.34736999997</v>
      </c>
      <c r="I282" s="94">
        <f>I19+I73+I85+I127+I199</f>
        <v>209029.63330000002</v>
      </c>
      <c r="J282" s="94">
        <f>J19+J73+J85+J127+J199</f>
        <v>222646.23772</v>
      </c>
      <c r="K282" s="95">
        <f>K19+K73+K85+K127+K199+K115+K187</f>
        <v>220275.81794999997</v>
      </c>
      <c r="L282" s="95">
        <f>L19+L73+L85+L127+L199+L115+L187</f>
        <v>230723.595</v>
      </c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54"/>
      <c r="AN282" s="54"/>
      <c r="AO282" s="54"/>
      <c r="AP282" s="54"/>
      <c r="AQ282" s="54"/>
      <c r="AR282" s="34"/>
      <c r="AS282" s="34"/>
      <c r="AT282" s="34"/>
      <c r="AU282" s="34"/>
      <c r="AV282" s="34"/>
      <c r="AW282" s="34"/>
      <c r="AX282" s="34"/>
      <c r="AY282" s="34"/>
      <c r="AZ282" s="34"/>
    </row>
    <row r="283" spans="1:53" s="53" customFormat="1" ht="21.75" customHeight="1">
      <c r="A283" s="121"/>
      <c r="B283" s="147"/>
      <c r="C283" s="118"/>
      <c r="D283" s="142"/>
      <c r="E283" s="21" t="s">
        <v>58</v>
      </c>
      <c r="F283" s="96">
        <f t="shared" si="84"/>
        <v>0</v>
      </c>
      <c r="G283" s="94">
        <f t="shared" si="84"/>
        <v>0</v>
      </c>
      <c r="H283" s="94">
        <f t="shared" si="84"/>
        <v>0</v>
      </c>
      <c r="I283" s="94">
        <f>I20+I74+I86+I128+I200</f>
        <v>0</v>
      </c>
      <c r="J283" s="94">
        <f>J20+J74+J86+J128+J200</f>
        <v>0</v>
      </c>
      <c r="K283" s="95">
        <f>K20+K74+K86+K128+K200</f>
        <v>0</v>
      </c>
      <c r="L283" s="95">
        <f>L20+L74+L86+L128+L200</f>
        <v>0</v>
      </c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55"/>
      <c r="AN283" s="55"/>
      <c r="AO283" s="55"/>
      <c r="AP283" s="55"/>
      <c r="AQ283" s="55"/>
      <c r="AR283" s="50"/>
      <c r="AS283" s="50"/>
      <c r="AT283" s="50"/>
      <c r="AU283" s="50"/>
      <c r="AV283" s="50"/>
      <c r="AW283" s="50"/>
      <c r="AX283" s="50"/>
      <c r="AY283" s="50"/>
      <c r="AZ283" s="50"/>
    </row>
    <row r="284" spans="1:53" s="26" customFormat="1" ht="21.75" customHeight="1">
      <c r="A284" s="84"/>
      <c r="B284" s="85"/>
      <c r="C284" s="86"/>
      <c r="D284" s="87"/>
      <c r="E284" s="86"/>
      <c r="F284" s="85"/>
      <c r="G284" s="85"/>
      <c r="H284" s="85"/>
      <c r="I284" s="85"/>
      <c r="J284" s="85"/>
      <c r="K284" s="85"/>
      <c r="L284" s="85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  <c r="AA284" s="28"/>
      <c r="AB284" s="28"/>
      <c r="AC284" s="28"/>
      <c r="AD284" s="28"/>
      <c r="AE284" s="28"/>
      <c r="AF284" s="28"/>
      <c r="AG284" s="28"/>
      <c r="AH284" s="28"/>
      <c r="AI284" s="28"/>
      <c r="AJ284" s="28"/>
      <c r="AK284" s="28"/>
      <c r="AL284" s="28"/>
      <c r="AM284" s="28"/>
      <c r="AN284" s="28"/>
      <c r="AO284" s="28"/>
      <c r="AP284" s="28"/>
      <c r="AQ284" s="28"/>
      <c r="AR284" s="28"/>
      <c r="AS284" s="28"/>
      <c r="AT284" s="28"/>
      <c r="AU284" s="28"/>
      <c r="AV284" s="28"/>
      <c r="AW284" s="28"/>
      <c r="AX284" s="28"/>
      <c r="AY284" s="28"/>
      <c r="AZ284" s="28"/>
    </row>
    <row r="285" spans="1:53" s="72" customFormat="1" ht="12" customHeight="1">
      <c r="B285" s="73" t="s">
        <v>140</v>
      </c>
      <c r="C285" s="74"/>
      <c r="D285" s="80"/>
      <c r="E285" s="80"/>
      <c r="F285" s="80"/>
      <c r="G285" s="80"/>
      <c r="H285" s="80"/>
      <c r="I285" s="81"/>
      <c r="J285" s="82"/>
      <c r="K285" s="82"/>
      <c r="L285" s="75"/>
      <c r="M285" s="75"/>
      <c r="N285" s="75"/>
      <c r="O285" s="75"/>
      <c r="P285" s="75"/>
      <c r="Q285" s="75"/>
      <c r="R285" s="75"/>
    </row>
    <row r="286" spans="1:53" s="72" customFormat="1" ht="14.25" customHeight="1">
      <c r="B286" s="76"/>
      <c r="C286" s="76"/>
      <c r="D286" s="83"/>
      <c r="E286" s="83"/>
      <c r="F286" s="83"/>
      <c r="G286" s="83"/>
      <c r="H286" s="83"/>
      <c r="J286" s="75"/>
      <c r="K286" s="81"/>
      <c r="L286" s="77"/>
      <c r="M286" s="75"/>
      <c r="N286" s="75"/>
      <c r="O286" s="75"/>
      <c r="P286" s="75"/>
      <c r="Q286" s="75"/>
      <c r="R286" s="75"/>
    </row>
    <row r="287" spans="1:53" s="69" customFormat="1" ht="12.75">
      <c r="B287" s="70"/>
      <c r="C287" s="70"/>
      <c r="D287" s="70"/>
      <c r="E287" s="70"/>
      <c r="F287" s="70"/>
      <c r="G287" s="70"/>
      <c r="H287" s="70"/>
      <c r="J287" s="78"/>
      <c r="K287" s="71"/>
      <c r="L287" s="71"/>
      <c r="M287" s="71"/>
      <c r="N287" s="71"/>
      <c r="O287" s="71"/>
      <c r="P287" s="71"/>
      <c r="Q287" s="71"/>
      <c r="R287" s="71"/>
    </row>
    <row r="288" spans="1:53" s="69" customFormat="1" ht="12.75">
      <c r="B288" s="70"/>
      <c r="C288" s="70"/>
      <c r="D288" s="70"/>
      <c r="E288" s="70"/>
      <c r="F288" s="70"/>
      <c r="G288" s="70"/>
      <c r="H288" s="70"/>
      <c r="I288" s="79"/>
      <c r="J288" s="79"/>
      <c r="K288" s="79"/>
      <c r="L288" s="71"/>
      <c r="M288" s="71"/>
      <c r="N288" s="71"/>
      <c r="O288" s="71"/>
      <c r="P288" s="71"/>
      <c r="Q288" s="71"/>
      <c r="R288" s="71"/>
    </row>
    <row r="289" spans="6:12" s="28" customFormat="1" ht="21.75" customHeight="1">
      <c r="F289" s="32"/>
      <c r="H289" s="56"/>
      <c r="I289" s="56"/>
      <c r="J289" s="56"/>
      <c r="K289" s="63"/>
      <c r="L289" s="63"/>
    </row>
    <row r="290" spans="6:12" s="28" customFormat="1" ht="21.75" customHeight="1">
      <c r="F290" s="32"/>
      <c r="H290" s="56"/>
      <c r="I290" s="56"/>
      <c r="J290" s="56"/>
      <c r="K290" s="63"/>
      <c r="L290" s="63"/>
    </row>
    <row r="291" spans="6:12" s="28" customFormat="1" ht="21.75" customHeight="1">
      <c r="F291" s="32"/>
      <c r="H291" s="56"/>
      <c r="I291" s="56"/>
      <c r="J291" s="56"/>
      <c r="K291" s="63"/>
      <c r="L291" s="63"/>
    </row>
    <row r="292" spans="6:12" s="28" customFormat="1" ht="21.75" customHeight="1">
      <c r="F292" s="32"/>
      <c r="H292" s="56"/>
      <c r="I292" s="56"/>
      <c r="J292" s="56"/>
      <c r="K292" s="63"/>
      <c r="L292" s="63"/>
    </row>
    <row r="293" spans="6:12" s="28" customFormat="1" ht="21.75" customHeight="1">
      <c r="F293" s="32"/>
      <c r="H293" s="56"/>
      <c r="I293" s="56"/>
      <c r="J293" s="56"/>
      <c r="K293" s="63"/>
      <c r="L293" s="63"/>
    </row>
    <row r="294" spans="6:12" s="28" customFormat="1" ht="21.75" customHeight="1">
      <c r="F294" s="32"/>
      <c r="H294" s="56"/>
      <c r="I294" s="56"/>
      <c r="J294" s="56"/>
      <c r="K294" s="63"/>
      <c r="L294" s="63"/>
    </row>
    <row r="295" spans="6:12" s="28" customFormat="1" ht="21.75" customHeight="1">
      <c r="F295" s="32"/>
      <c r="H295" s="56"/>
      <c r="I295" s="56"/>
      <c r="J295" s="56"/>
      <c r="K295" s="63"/>
      <c r="L295" s="63"/>
    </row>
    <row r="296" spans="6:12" s="28" customFormat="1" ht="21.75" customHeight="1">
      <c r="F296" s="32"/>
      <c r="H296" s="56"/>
      <c r="I296" s="56"/>
      <c r="J296" s="56"/>
      <c r="K296" s="63"/>
      <c r="L296" s="63"/>
    </row>
    <row r="297" spans="6:12" s="28" customFormat="1" ht="21.75" customHeight="1">
      <c r="F297" s="32"/>
      <c r="H297" s="56"/>
      <c r="I297" s="56"/>
      <c r="J297" s="56"/>
      <c r="K297" s="63"/>
      <c r="L297" s="63"/>
    </row>
    <row r="298" spans="6:12" s="28" customFormat="1" ht="21.75" customHeight="1">
      <c r="F298" s="32"/>
      <c r="H298" s="56"/>
      <c r="I298" s="56"/>
      <c r="J298" s="56"/>
      <c r="K298" s="63"/>
      <c r="L298" s="63"/>
    </row>
    <row r="299" spans="6:12" s="28" customFormat="1" ht="21.75" customHeight="1">
      <c r="F299" s="32"/>
      <c r="H299" s="56"/>
      <c r="I299" s="56"/>
      <c r="J299" s="56"/>
      <c r="K299" s="63"/>
      <c r="L299" s="63"/>
    </row>
    <row r="300" spans="6:12" s="28" customFormat="1" ht="21.75" customHeight="1">
      <c r="F300" s="32"/>
      <c r="H300" s="56"/>
      <c r="I300" s="56"/>
      <c r="J300" s="56"/>
      <c r="K300" s="63"/>
      <c r="L300" s="63"/>
    </row>
    <row r="301" spans="6:12" s="28" customFormat="1" ht="21.75" customHeight="1">
      <c r="F301" s="32"/>
      <c r="H301" s="56"/>
      <c r="I301" s="56"/>
      <c r="J301" s="56"/>
      <c r="K301" s="63"/>
      <c r="L301" s="63"/>
    </row>
    <row r="302" spans="6:12" s="28" customFormat="1" ht="21.75" customHeight="1">
      <c r="F302" s="32"/>
      <c r="H302" s="56"/>
      <c r="I302" s="56"/>
      <c r="J302" s="56"/>
      <c r="K302" s="63"/>
      <c r="L302" s="63"/>
    </row>
    <row r="303" spans="6:12" s="28" customFormat="1" ht="21.75" customHeight="1">
      <c r="F303" s="32"/>
      <c r="H303" s="56"/>
      <c r="I303" s="56"/>
      <c r="J303" s="56"/>
      <c r="K303" s="63"/>
      <c r="L303" s="63"/>
    </row>
    <row r="304" spans="6:12" s="28" customFormat="1" ht="21.75" customHeight="1">
      <c r="F304" s="32"/>
      <c r="H304" s="56"/>
      <c r="I304" s="56"/>
      <c r="J304" s="56"/>
      <c r="K304" s="63"/>
      <c r="L304" s="63"/>
    </row>
    <row r="305" spans="1:52" s="58" customFormat="1" ht="21.75" customHeight="1">
      <c r="A305" s="57"/>
      <c r="F305" s="59"/>
      <c r="H305" s="56"/>
      <c r="I305" s="56"/>
      <c r="J305" s="56"/>
      <c r="K305" s="63"/>
      <c r="L305" s="63"/>
      <c r="M305" s="28"/>
      <c r="N305" s="28"/>
      <c r="O305" s="28"/>
      <c r="P305" s="28"/>
      <c r="Q305" s="28"/>
      <c r="R305" s="28"/>
      <c r="S305" s="28"/>
      <c r="T305" s="28"/>
      <c r="U305" s="28"/>
      <c r="V305" s="28"/>
      <c r="W305" s="28"/>
      <c r="X305" s="28"/>
      <c r="Y305" s="28"/>
      <c r="Z305" s="28"/>
      <c r="AA305" s="28"/>
      <c r="AB305" s="28"/>
      <c r="AC305" s="28"/>
      <c r="AD305" s="28"/>
      <c r="AE305" s="28"/>
      <c r="AF305" s="28"/>
      <c r="AG305" s="28"/>
      <c r="AH305" s="28"/>
      <c r="AI305" s="28"/>
      <c r="AJ305" s="28"/>
      <c r="AK305" s="28"/>
      <c r="AL305" s="28"/>
      <c r="AM305" s="28"/>
      <c r="AN305" s="28"/>
      <c r="AO305" s="28"/>
      <c r="AP305" s="28"/>
      <c r="AQ305" s="28"/>
      <c r="AR305" s="28"/>
      <c r="AS305" s="28"/>
      <c r="AT305" s="28"/>
      <c r="AU305" s="28"/>
      <c r="AV305" s="28"/>
      <c r="AW305" s="28"/>
      <c r="AX305" s="28"/>
      <c r="AY305" s="28"/>
      <c r="AZ305" s="28"/>
    </row>
    <row r="306" spans="1:52" s="58" customFormat="1" ht="21.75" customHeight="1">
      <c r="A306" s="57"/>
      <c r="F306" s="59"/>
      <c r="H306" s="56"/>
      <c r="I306" s="56"/>
      <c r="J306" s="56"/>
      <c r="K306" s="63"/>
      <c r="L306" s="63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8"/>
      <c r="AW306" s="28"/>
      <c r="AX306" s="28"/>
      <c r="AY306" s="28"/>
      <c r="AZ306" s="28"/>
    </row>
    <row r="307" spans="1:52" s="58" customFormat="1" ht="21.75" customHeight="1">
      <c r="A307" s="57"/>
      <c r="F307" s="59"/>
      <c r="H307" s="56"/>
      <c r="I307" s="56"/>
      <c r="J307" s="56"/>
      <c r="K307" s="63"/>
      <c r="L307" s="63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28"/>
      <c r="AV307" s="28"/>
      <c r="AW307" s="28"/>
      <c r="AX307" s="28"/>
      <c r="AY307" s="28"/>
      <c r="AZ307" s="28"/>
    </row>
    <row r="308" spans="1:52" s="58" customFormat="1" ht="21.75" customHeight="1">
      <c r="A308" s="57"/>
      <c r="F308" s="59"/>
      <c r="H308" s="56"/>
      <c r="I308" s="56"/>
      <c r="J308" s="56"/>
      <c r="K308" s="63"/>
      <c r="L308" s="63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  <c r="AV308" s="28"/>
      <c r="AW308" s="28"/>
      <c r="AX308" s="28"/>
      <c r="AY308" s="28"/>
      <c r="AZ308" s="28"/>
    </row>
    <row r="309" spans="1:52" s="58" customFormat="1" ht="21.75" customHeight="1">
      <c r="A309" s="57"/>
      <c r="F309" s="59"/>
      <c r="H309" s="56"/>
      <c r="I309" s="56"/>
      <c r="J309" s="56"/>
      <c r="K309" s="63"/>
      <c r="L309" s="63"/>
      <c r="M309" s="28"/>
      <c r="N309" s="28"/>
      <c r="O309" s="28"/>
      <c r="P309" s="28"/>
      <c r="Q309" s="28"/>
      <c r="R309" s="28"/>
      <c r="S309" s="28"/>
      <c r="T309" s="28"/>
      <c r="U309" s="28"/>
      <c r="V309" s="28"/>
      <c r="W309" s="28"/>
      <c r="X309" s="28"/>
      <c r="Y309" s="28"/>
      <c r="Z309" s="28"/>
      <c r="AA309" s="28"/>
      <c r="AB309" s="28"/>
      <c r="AC309" s="28"/>
      <c r="AD309" s="28"/>
      <c r="AE309" s="28"/>
      <c r="AF309" s="28"/>
      <c r="AG309" s="28"/>
      <c r="AH309" s="28"/>
      <c r="AI309" s="28"/>
      <c r="AJ309" s="28"/>
      <c r="AK309" s="28"/>
      <c r="AL309" s="28"/>
      <c r="AM309" s="28"/>
      <c r="AN309" s="28"/>
      <c r="AO309" s="28"/>
      <c r="AP309" s="28"/>
      <c r="AQ309" s="28"/>
      <c r="AR309" s="28"/>
      <c r="AS309" s="28"/>
      <c r="AT309" s="28"/>
      <c r="AU309" s="28"/>
      <c r="AV309" s="28"/>
      <c r="AW309" s="28"/>
      <c r="AX309" s="28"/>
      <c r="AY309" s="28"/>
      <c r="AZ309" s="28"/>
    </row>
    <row r="310" spans="1:52" s="58" customFormat="1" ht="21.75" customHeight="1">
      <c r="A310" s="57"/>
      <c r="F310" s="59"/>
      <c r="H310" s="56"/>
      <c r="I310" s="56"/>
      <c r="J310" s="56"/>
      <c r="K310" s="63"/>
      <c r="L310" s="63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  <c r="AU310" s="28"/>
      <c r="AV310" s="28"/>
      <c r="AW310" s="28"/>
      <c r="AX310" s="28"/>
      <c r="AY310" s="28"/>
      <c r="AZ310" s="28"/>
    </row>
    <row r="311" spans="1:52" s="58" customFormat="1" ht="21.75" customHeight="1">
      <c r="A311" s="57"/>
      <c r="F311" s="59"/>
      <c r="H311" s="56"/>
      <c r="I311" s="56"/>
      <c r="J311" s="56"/>
      <c r="K311" s="63"/>
      <c r="L311" s="63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  <c r="AU311" s="28"/>
      <c r="AV311" s="28"/>
      <c r="AW311" s="28"/>
      <c r="AX311" s="28"/>
      <c r="AY311" s="28"/>
      <c r="AZ311" s="28"/>
    </row>
  </sheetData>
  <autoFilter ref="A12:I283"/>
  <mergeCells count="232">
    <mergeCell ref="G4:L5"/>
    <mergeCell ref="G1:L2"/>
    <mergeCell ref="A7:L9"/>
    <mergeCell ref="L12:L13"/>
    <mergeCell ref="A213:A218"/>
    <mergeCell ref="B213:B218"/>
    <mergeCell ref="C213:C218"/>
    <mergeCell ref="A129:A134"/>
    <mergeCell ref="B129:B134"/>
    <mergeCell ref="C129:C134"/>
    <mergeCell ref="A123:A128"/>
    <mergeCell ref="B123:B128"/>
    <mergeCell ref="C123:C128"/>
    <mergeCell ref="A177:A182"/>
    <mergeCell ref="C141:C146"/>
    <mergeCell ref="A159:A164"/>
    <mergeCell ref="B159:B164"/>
    <mergeCell ref="A165:A170"/>
    <mergeCell ref="B165:B170"/>
    <mergeCell ref="C165:C170"/>
    <mergeCell ref="A135:A140"/>
    <mergeCell ref="D87:D92"/>
    <mergeCell ref="D75:D80"/>
    <mergeCell ref="D81:D86"/>
    <mergeCell ref="B219:B224"/>
    <mergeCell ref="C219:C224"/>
    <mergeCell ref="A207:A212"/>
    <mergeCell ref="A147:A152"/>
    <mergeCell ref="B135:B140"/>
    <mergeCell ref="C159:C164"/>
    <mergeCell ref="A183:A188"/>
    <mergeCell ref="B183:B188"/>
    <mergeCell ref="C183:C188"/>
    <mergeCell ref="C147:C152"/>
    <mergeCell ref="B147:B152"/>
    <mergeCell ref="B153:B158"/>
    <mergeCell ref="C153:C158"/>
    <mergeCell ref="A153:A158"/>
    <mergeCell ref="D21:D26"/>
    <mergeCell ref="D27:D32"/>
    <mergeCell ref="C69:C74"/>
    <mergeCell ref="C51:C56"/>
    <mergeCell ref="B177:B182"/>
    <mergeCell ref="C177:C182"/>
    <mergeCell ref="C171:C176"/>
    <mergeCell ref="A171:A176"/>
    <mergeCell ref="B171:B176"/>
    <mergeCell ref="C135:C140"/>
    <mergeCell ref="A141:A146"/>
    <mergeCell ref="D33:D38"/>
    <mergeCell ref="D39:D44"/>
    <mergeCell ref="D45:D50"/>
    <mergeCell ref="D51:D56"/>
    <mergeCell ref="A87:A92"/>
    <mergeCell ref="B87:B92"/>
    <mergeCell ref="C87:C92"/>
    <mergeCell ref="A69:A74"/>
    <mergeCell ref="B69:B74"/>
    <mergeCell ref="A57:A62"/>
    <mergeCell ref="A51:A56"/>
    <mergeCell ref="B51:B56"/>
    <mergeCell ref="D171:D176"/>
    <mergeCell ref="I12:I13"/>
    <mergeCell ref="A10:A13"/>
    <mergeCell ref="B10:B13"/>
    <mergeCell ref="C10:C13"/>
    <mergeCell ref="D10:D13"/>
    <mergeCell ref="E10:E13"/>
    <mergeCell ref="F10:F13"/>
    <mergeCell ref="G10:L11"/>
    <mergeCell ref="K12:K13"/>
    <mergeCell ref="J12:J13"/>
    <mergeCell ref="G12:G13"/>
    <mergeCell ref="H12:H13"/>
    <mergeCell ref="D183:D188"/>
    <mergeCell ref="A225:A230"/>
    <mergeCell ref="B225:B230"/>
    <mergeCell ref="C225:C230"/>
    <mergeCell ref="D213:D218"/>
    <mergeCell ref="B207:B212"/>
    <mergeCell ref="C207:C212"/>
    <mergeCell ref="D278:D283"/>
    <mergeCell ref="D195:D200"/>
    <mergeCell ref="D201:D206"/>
    <mergeCell ref="D219:D224"/>
    <mergeCell ref="D225:D230"/>
    <mergeCell ref="D207:D212"/>
    <mergeCell ref="A278:A283"/>
    <mergeCell ref="C278:C283"/>
    <mergeCell ref="B278:B283"/>
    <mergeCell ref="A195:A200"/>
    <mergeCell ref="B195:B200"/>
    <mergeCell ref="C195:C200"/>
    <mergeCell ref="A219:A224"/>
    <mergeCell ref="A201:A206"/>
    <mergeCell ref="B201:B206"/>
    <mergeCell ref="C201:C206"/>
    <mergeCell ref="A243:A249"/>
    <mergeCell ref="D135:D140"/>
    <mergeCell ref="D141:D146"/>
    <mergeCell ref="A105:A110"/>
    <mergeCell ref="B105:B110"/>
    <mergeCell ref="D105:D110"/>
    <mergeCell ref="C105:C110"/>
    <mergeCell ref="D129:D134"/>
    <mergeCell ref="D99:D104"/>
    <mergeCell ref="A99:A104"/>
    <mergeCell ref="B99:B104"/>
    <mergeCell ref="C99:C104"/>
    <mergeCell ref="B141:B146"/>
    <mergeCell ref="A111:A116"/>
    <mergeCell ref="B111:B116"/>
    <mergeCell ref="C15:C20"/>
    <mergeCell ref="A15:A20"/>
    <mergeCell ref="B15:B20"/>
    <mergeCell ref="A33:A38"/>
    <mergeCell ref="B33:B38"/>
    <mergeCell ref="A21:A26"/>
    <mergeCell ref="B21:B26"/>
    <mergeCell ref="C21:C26"/>
    <mergeCell ref="A27:A32"/>
    <mergeCell ref="B27:B32"/>
    <mergeCell ref="C27:C32"/>
    <mergeCell ref="C33:C38"/>
    <mergeCell ref="D69:D74"/>
    <mergeCell ref="C39:C44"/>
    <mergeCell ref="C45:C50"/>
    <mergeCell ref="C57:C62"/>
    <mergeCell ref="A117:A122"/>
    <mergeCell ref="B117:B122"/>
    <mergeCell ref="C117:C122"/>
    <mergeCell ref="D117:D122"/>
    <mergeCell ref="B39:B44"/>
    <mergeCell ref="A45:A50"/>
    <mergeCell ref="A81:A86"/>
    <mergeCell ref="B81:B86"/>
    <mergeCell ref="A75:A80"/>
    <mergeCell ref="B75:B80"/>
    <mergeCell ref="C75:C80"/>
    <mergeCell ref="C81:C86"/>
    <mergeCell ref="A39:A44"/>
    <mergeCell ref="B45:B50"/>
    <mergeCell ref="D93:D98"/>
    <mergeCell ref="C111:C116"/>
    <mergeCell ref="A93:A98"/>
    <mergeCell ref="B93:B98"/>
    <mergeCell ref="C93:C98"/>
    <mergeCell ref="B57:B62"/>
    <mergeCell ref="D15:D20"/>
    <mergeCell ref="A237:A242"/>
    <mergeCell ref="B237:B242"/>
    <mergeCell ref="C237:C242"/>
    <mergeCell ref="D237:D242"/>
    <mergeCell ref="A189:A194"/>
    <mergeCell ref="B189:B194"/>
    <mergeCell ref="C189:C194"/>
    <mergeCell ref="D189:D194"/>
    <mergeCell ref="A63:A68"/>
    <mergeCell ref="B63:B68"/>
    <mergeCell ref="C63:C68"/>
    <mergeCell ref="D63:D68"/>
    <mergeCell ref="A231:A236"/>
    <mergeCell ref="B231:B236"/>
    <mergeCell ref="C231:C236"/>
    <mergeCell ref="D231:D236"/>
    <mergeCell ref="D123:D128"/>
    <mergeCell ref="D159:D164"/>
    <mergeCell ref="D165:D170"/>
    <mergeCell ref="D177:D182"/>
    <mergeCell ref="D147:D152"/>
    <mergeCell ref="D111:D116"/>
    <mergeCell ref="D57:D62"/>
    <mergeCell ref="A250:A256"/>
    <mergeCell ref="B250:B256"/>
    <mergeCell ref="C250:C256"/>
    <mergeCell ref="D250:D256"/>
    <mergeCell ref="E248:E249"/>
    <mergeCell ref="F248:F249"/>
    <mergeCell ref="G248:G249"/>
    <mergeCell ref="H248:H249"/>
    <mergeCell ref="I248:I249"/>
    <mergeCell ref="B243:B249"/>
    <mergeCell ref="C243:C249"/>
    <mergeCell ref="D243:D249"/>
    <mergeCell ref="D153:D158"/>
    <mergeCell ref="F262:F263"/>
    <mergeCell ref="G262:G263"/>
    <mergeCell ref="H262:H263"/>
    <mergeCell ref="I262:I263"/>
    <mergeCell ref="J262:J263"/>
    <mergeCell ref="K262:K263"/>
    <mergeCell ref="L262:L263"/>
    <mergeCell ref="A257:A263"/>
    <mergeCell ref="B257:B263"/>
    <mergeCell ref="C257:C263"/>
    <mergeCell ref="D257:D263"/>
    <mergeCell ref="E262:E263"/>
    <mergeCell ref="J248:J249"/>
    <mergeCell ref="K248:K249"/>
    <mergeCell ref="L248:L249"/>
    <mergeCell ref="E255:E256"/>
    <mergeCell ref="F255:F256"/>
    <mergeCell ref="G255:G256"/>
    <mergeCell ref="H255:H256"/>
    <mergeCell ref="I255:I256"/>
    <mergeCell ref="J255:J256"/>
    <mergeCell ref="K255:K256"/>
    <mergeCell ref="L255:L256"/>
    <mergeCell ref="J269:J270"/>
    <mergeCell ref="K269:K270"/>
    <mergeCell ref="L269:L270"/>
    <mergeCell ref="A271:A277"/>
    <mergeCell ref="B271:B277"/>
    <mergeCell ref="C271:C277"/>
    <mergeCell ref="D271:D277"/>
    <mergeCell ref="E276:E277"/>
    <mergeCell ref="F276:F277"/>
    <mergeCell ref="G276:G277"/>
    <mergeCell ref="H276:H277"/>
    <mergeCell ref="I276:I277"/>
    <mergeCell ref="J276:J277"/>
    <mergeCell ref="K276:K277"/>
    <mergeCell ref="L276:L277"/>
    <mergeCell ref="A264:A270"/>
    <mergeCell ref="B264:B270"/>
    <mergeCell ref="C264:C270"/>
    <mergeCell ref="D264:D270"/>
    <mergeCell ref="E269:E270"/>
    <mergeCell ref="F269:F270"/>
    <mergeCell ref="G269:G270"/>
    <mergeCell ref="H269:H270"/>
    <mergeCell ref="I269:I270"/>
  </mergeCells>
  <pageMargins left="0.25" right="0.25" top="0.75" bottom="0.75" header="0.3" footer="0.3"/>
  <pageSetup paperSize="9" scale="71" fitToHeight="0" orientation="landscape" r:id="rId1"/>
  <rowBreaks count="9" manualBreakCount="9">
    <brk id="32" max="11" man="1"/>
    <brk id="62" max="11" man="1"/>
    <brk id="92" max="11" man="1"/>
    <brk id="116" max="11" man="1"/>
    <brk id="140" max="11" man="1"/>
    <brk id="176" max="11" man="1"/>
    <brk id="200" max="11" man="1"/>
    <brk id="224" max="11" man="1"/>
    <brk id="255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Лист2!Область_печати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2025-06-26T11:36:51Z</dcterms:modified>
</cp:coreProperties>
</file>